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F:\Gaming\Mythus\Mythus Master Sheets\"/>
    </mc:Choice>
  </mc:AlternateContent>
  <xr:revisionPtr revIDLastSave="0" documentId="13_ncr:1_{83D54586-A097-4EEE-A3C2-877C90B55B05}" xr6:coauthVersionLast="47" xr6:coauthVersionMax="47" xr10:uidLastSave="{00000000-0000-0000-0000-000000000000}"/>
  <bookViews>
    <workbookView xWindow="2340" yWindow="18735" windowWidth="21600" windowHeight="11385" tabRatio="715" firstSheet="4" activeTab="7" xr2:uid="{F26EBBD3-22AB-4703-A593-3FAE10CB558A}"/>
  </bookViews>
  <sheets>
    <sheet name="Read Me" sheetId="9" r:id="rId1"/>
    <sheet name=" HPSheet" sheetId="1" r:id="rId2"/>
    <sheet name="Casting Sheets" sheetId="2" r:id="rId3"/>
    <sheet name="Tome" sheetId="11" r:id="rId4"/>
    <sheet name="Summoned OPs" sheetId="7" r:id="rId5"/>
    <sheet name="SUMMARY" sheetId="4" r:id="rId6"/>
    <sheet name="Player Log" sheetId="14" r:id="rId7"/>
    <sheet name="Combat" sheetId="6" r:id="rId8"/>
    <sheet name="Known, Recall, Readied" sheetId="8" r:id="rId9"/>
    <sheet name="New &amp; Useful Castings" sheetId="5" r:id="rId10"/>
    <sheet name="Heka Generation" sheetId="12" r:id="rId11"/>
    <sheet name="Net Worth" sheetId="15" r:id="rId12"/>
    <sheet name="Money" sheetId="10" r:id="rId13"/>
    <sheet name="Consumables" sheetId="13" r:id="rId14"/>
  </sheets>
  <externalReferences>
    <externalReference r:id="rId15"/>
    <externalReference r:id="rId16"/>
  </externalReferences>
  <definedNames>
    <definedName name="_Hlk187539888" localSheetId="13">Consumables!#REF!</definedName>
    <definedName name="_Hlk187539996" localSheetId="13">Consumables!#REF!</definedName>
    <definedName name="_Toc187423656" localSheetId="13">Consumables!#REF!</definedName>
    <definedName name="_Toc187423669" localSheetId="13">Consumables!$T$2</definedName>
    <definedName name="Boating">' HPSheet'!$H$63</definedName>
    <definedName name="CL">' HPSheet'!$P$20</definedName>
    <definedName name="HPName" localSheetId="11">'[1] HPSheet'!$E$3</definedName>
    <definedName name="HPName">' HPSheet'!$E$3</definedName>
    <definedName name="M" localSheetId="11">'[1] HPSheet'!$H$14</definedName>
    <definedName name="M">' HPSheet'!$H$14</definedName>
    <definedName name="MEL">' HPSheet'!$L$14</definedName>
    <definedName name="MM" localSheetId="11">'[1] HPSheet'!$H$15</definedName>
    <definedName name="MM" localSheetId="6">'[2] HPSheet'!$H$15</definedName>
    <definedName name="MM">' HPSheet'!$H$15</definedName>
    <definedName name="MMC" localSheetId="11">'[1] HPSheet'!$H$16</definedName>
    <definedName name="MMC" localSheetId="6">'[2] HPSheet'!$H$16</definedName>
    <definedName name="MMC">' HPSheet'!$H$16</definedName>
    <definedName name="MMP" localSheetId="11">'[1] HPSheet'!$H$17</definedName>
    <definedName name="MMP" localSheetId="6">'[2] HPSheet'!$H$17</definedName>
    <definedName name="MMP">' HPSheet'!$H$17</definedName>
    <definedName name="MMS" localSheetId="11">'[1] HPSheet'!$H$18</definedName>
    <definedName name="MMS" localSheetId="6">'[2] HPSheet'!$H$18</definedName>
    <definedName name="MMS">' HPSheet'!$H$18</definedName>
    <definedName name="MPerceptn" localSheetId="11">'[1] HPSheet'!$F$63</definedName>
    <definedName name="MPerceptn" localSheetId="6">'[2] HPSheet'!$H$66</definedName>
    <definedName name="MPerceptn">' HPSheet'!$H$66</definedName>
    <definedName name="MR" localSheetId="11">'[1] HPSheet'!$P$15</definedName>
    <definedName name="MR" localSheetId="6">'[2] HPSheet'!$P$15</definedName>
    <definedName name="MR">' HPSheet'!$P$15</definedName>
    <definedName name="MRC" localSheetId="11">'[1] HPSheet'!$P$16</definedName>
    <definedName name="MRC" localSheetId="6">'[2] HPSheet'!$P$16</definedName>
    <definedName name="MRC">' HPSheet'!$P$16</definedName>
    <definedName name="MRP" localSheetId="11">'[1] HPSheet'!$P$17</definedName>
    <definedName name="MRP" localSheetId="6">'[2] HPSheet'!$P$17</definedName>
    <definedName name="MRP">' HPSheet'!$P$17</definedName>
    <definedName name="MRS" localSheetId="11">'[1] HPSheet'!$P$18</definedName>
    <definedName name="MRS" localSheetId="6">'[2] HPSheet'!$P$18</definedName>
    <definedName name="MRS">' HPSheet'!$P$18</definedName>
    <definedName name="NULL">' HPSheet'!$F$63</definedName>
    <definedName name="P">' HPSheet'!$H$20</definedName>
    <definedName name="PM" localSheetId="11">'[1] HPSheet'!$H$21</definedName>
    <definedName name="PM" localSheetId="6">'[2] HPSheet'!$H$21</definedName>
    <definedName name="PM">' HPSheet'!$H$21</definedName>
    <definedName name="PMC" localSheetId="11">'[1] HPSheet'!$H$22</definedName>
    <definedName name="PMC" localSheetId="6">'[2] HPSheet'!$H$22</definedName>
    <definedName name="PMC">' HPSheet'!$H$22</definedName>
    <definedName name="PMP" localSheetId="11">'[1] HPSheet'!$H$23</definedName>
    <definedName name="PMP" localSheetId="6">'[2] HPSheet'!$H$23</definedName>
    <definedName name="PMP">' HPSheet'!$H$23</definedName>
    <definedName name="PMS" localSheetId="11">'[1] HPSheet'!$H$24</definedName>
    <definedName name="PMS" localSheetId="6">'[2] HPSheet'!$H$24</definedName>
    <definedName name="PMS">' HPSheet'!$H$24</definedName>
    <definedName name="PN" localSheetId="11">'[1] HPSheet'!$P$21</definedName>
    <definedName name="PN" localSheetId="6">'[2] HPSheet'!$P$21</definedName>
    <definedName name="PN">' HPSheet'!$P$21</definedName>
    <definedName name="PNC" localSheetId="11">'[1] HPSheet'!$P$22</definedName>
    <definedName name="PNC" localSheetId="6">'[2] HPSheet'!$P$22</definedName>
    <definedName name="PNC">' HPSheet'!$P$22</definedName>
    <definedName name="PNP" localSheetId="11">'[1] HPSheet'!$P$23</definedName>
    <definedName name="PNP" localSheetId="6">'[2] HPSheet'!$P$23</definedName>
    <definedName name="PNP">' HPSheet'!$P$23</definedName>
    <definedName name="PNS" localSheetId="11">'[1] HPSheet'!$P$24</definedName>
    <definedName name="PNS" localSheetId="6">'[2] HPSheet'!$P$24</definedName>
    <definedName name="PNS">' HPSheet'!$P$24</definedName>
    <definedName name="PPerceptn" localSheetId="11">'[1] HPSheet'!$H$63</definedName>
    <definedName name="PPerceptn" localSheetId="6">'[2] HPSheet'!$H$67</definedName>
    <definedName name="PPerceptn">' HPSheet'!$H$67</definedName>
    <definedName name="_xlnm.Print_Area">' HPSheet'!$A$1:$Y$109</definedName>
    <definedName name="Riding">' HPSheet'!$F$63</definedName>
    <definedName name="RL">' HPSheet'!$L$20</definedName>
    <definedName name="S" localSheetId="11">'[1] HPSheet'!$H$26</definedName>
    <definedName name="S">' HPSheet'!$H$26</definedName>
    <definedName name="SEL">' HPSheet'!$L$26</definedName>
    <definedName name="SM" localSheetId="11">'[1] HPSheet'!$H$27</definedName>
    <definedName name="SM" localSheetId="6">'[2] HPSheet'!$H$27</definedName>
    <definedName name="SM">' HPSheet'!$H$27</definedName>
    <definedName name="SMC" localSheetId="11">'[1] HPSheet'!$H$28</definedName>
    <definedName name="SMC" localSheetId="6">'[2] HPSheet'!$H$28</definedName>
    <definedName name="SMC">' HPSheet'!$H$28</definedName>
    <definedName name="SMP" localSheetId="11">'[1] HPSheet'!$H$29</definedName>
    <definedName name="SMP" localSheetId="6">'[2] HPSheet'!$H$29</definedName>
    <definedName name="SMP">' HPSheet'!$H$29</definedName>
    <definedName name="SMS" localSheetId="11">'[1] HPSheet'!$H$30</definedName>
    <definedName name="SMS" localSheetId="6">'[2] HPSheet'!$H$30</definedName>
    <definedName name="SMS">' HPSheet'!$H$30</definedName>
    <definedName name="SP" localSheetId="11">'[1] HPSheet'!$P$27</definedName>
    <definedName name="SP" localSheetId="6">'[2] HPSheet'!$P$27</definedName>
    <definedName name="SP">' HPSheet'!$P$27</definedName>
    <definedName name="SPC" localSheetId="11">'[1] HPSheet'!$P$28</definedName>
    <definedName name="SPC" localSheetId="6">'[2] HPSheet'!$P$28</definedName>
    <definedName name="SPC">' HPSheet'!$P$28</definedName>
    <definedName name="SPP" localSheetId="11">'[1] HPSheet'!$P$29</definedName>
    <definedName name="SPP" localSheetId="6">'[2] HPSheet'!$P$29</definedName>
    <definedName name="SPP">' HPSheet'!$P$29</definedName>
    <definedName name="SPS" localSheetId="11">'[1] HPSheet'!$P$30</definedName>
    <definedName name="SPS" localSheetId="6">'[2] HPSheet'!$P$30</definedName>
    <definedName name="SPS">' HPSheet'!$P$30</definedName>
    <definedName name="WL">' HPSheet'!$N$20</definedName>
  </definedNames>
  <calcPr calcId="181029"/>
</workbook>
</file>

<file path=xl/calcChain.xml><?xml version="1.0" encoding="utf-8"?>
<calcChain xmlns="http://schemas.openxmlformats.org/spreadsheetml/2006/main">
  <c r="J116" i="6" l="1"/>
  <c r="E110" i="6"/>
  <c r="E109" i="6"/>
  <c r="E119" i="6"/>
  <c r="E125" i="6"/>
  <c r="E116" i="6"/>
  <c r="I115" i="6"/>
  <c r="G89" i="6"/>
  <c r="E90" i="6"/>
  <c r="E88" i="6"/>
  <c r="G49" i="15"/>
  <c r="G51" i="15" s="1"/>
  <c r="T10" i="15"/>
  <c r="T11" i="15" s="1"/>
  <c r="S10" i="15"/>
  <c r="S11" i="15" s="1"/>
  <c r="R10" i="15"/>
  <c r="R11" i="15" s="1"/>
  <c r="Q10" i="15"/>
  <c r="Q11" i="15" s="1"/>
  <c r="P10" i="15"/>
  <c r="P11" i="15" s="1"/>
  <c r="T9" i="15"/>
  <c r="S9" i="15"/>
  <c r="R9" i="15"/>
  <c r="Q9" i="15"/>
  <c r="P9" i="15"/>
  <c r="O9" i="15"/>
  <c r="N9" i="15"/>
  <c r="M9" i="15"/>
  <c r="L9" i="15"/>
  <c r="T8" i="15"/>
  <c r="S8" i="15"/>
  <c r="R8" i="15"/>
  <c r="Q8" i="15"/>
  <c r="P8" i="15"/>
  <c r="T7" i="15"/>
  <c r="S7" i="15"/>
  <c r="R7" i="15"/>
  <c r="Q7" i="15"/>
  <c r="P7" i="15"/>
  <c r="T6" i="15"/>
  <c r="S6" i="15"/>
  <c r="R6" i="15"/>
  <c r="Q6" i="15"/>
  <c r="P6" i="15"/>
  <c r="O6" i="15"/>
  <c r="N6" i="15"/>
  <c r="M6" i="15"/>
  <c r="L6" i="15"/>
  <c r="I128" i="6" l="1"/>
  <c r="I122" i="6"/>
  <c r="I113" i="6"/>
  <c r="I114" i="6" s="1"/>
  <c r="J112" i="6" s="1"/>
  <c r="K112" i="6" s="1"/>
  <c r="J113" i="6" s="1"/>
  <c r="L91" i="6"/>
  <c r="K91" i="6"/>
  <c r="L90" i="6"/>
  <c r="K90" i="6"/>
  <c r="H90" i="6"/>
  <c r="L89" i="6"/>
  <c r="K89" i="6"/>
  <c r="L88" i="6"/>
  <c r="K88" i="6"/>
  <c r="H88" i="6"/>
  <c r="L87" i="6"/>
  <c r="K87" i="6"/>
  <c r="L86" i="6"/>
  <c r="K86" i="6"/>
  <c r="M85" i="6"/>
  <c r="M87" i="6" s="1"/>
  <c r="L85" i="6"/>
  <c r="K85" i="6"/>
  <c r="L8" i="12"/>
  <c r="P77" i="4"/>
  <c r="W77" i="4" s="1"/>
  <c r="O76" i="4"/>
  <c r="P73" i="4"/>
  <c r="W73" i="4" s="1"/>
  <c r="O72" i="4"/>
  <c r="P69" i="4"/>
  <c r="U69" i="4" s="1"/>
  <c r="O68" i="4"/>
  <c r="O67" i="4"/>
  <c r="P61" i="4"/>
  <c r="U61" i="4" s="1"/>
  <c r="O60" i="4"/>
  <c r="H25" i="4"/>
  <c r="I25" i="4"/>
  <c r="L25" i="4"/>
  <c r="P60" i="4" s="1"/>
  <c r="H26" i="4"/>
  <c r="I26" i="4"/>
  <c r="O61" i="4" s="1"/>
  <c r="L26" i="4"/>
  <c r="H27" i="4"/>
  <c r="I27" i="4"/>
  <c r="O62" i="4" s="1"/>
  <c r="L27" i="4"/>
  <c r="P62" i="4" s="1"/>
  <c r="H28" i="4"/>
  <c r="I28" i="4"/>
  <c r="O63" i="4" s="1"/>
  <c r="L28" i="4"/>
  <c r="P63" i="4" s="1"/>
  <c r="H33" i="4"/>
  <c r="I33" i="4"/>
  <c r="L33" i="4"/>
  <c r="P68" i="4" s="1"/>
  <c r="H34" i="4"/>
  <c r="I34" i="4"/>
  <c r="O69" i="4" s="1"/>
  <c r="L34" i="4"/>
  <c r="H35" i="4"/>
  <c r="I35" i="4"/>
  <c r="O70" i="4" s="1"/>
  <c r="L35" i="4"/>
  <c r="P70" i="4" s="1"/>
  <c r="H36" i="4"/>
  <c r="I36" i="4"/>
  <c r="O71" i="4" s="1"/>
  <c r="L36" i="4"/>
  <c r="P71" i="4" s="1"/>
  <c r="H37" i="4"/>
  <c r="I37" i="4"/>
  <c r="L37" i="4"/>
  <c r="P72" i="4" s="1"/>
  <c r="H38" i="4"/>
  <c r="I38" i="4"/>
  <c r="O73" i="4" s="1"/>
  <c r="L38" i="4"/>
  <c r="H39" i="4"/>
  <c r="I39" i="4"/>
  <c r="O74" i="4" s="1"/>
  <c r="L39" i="4"/>
  <c r="P74" i="4" s="1"/>
  <c r="H40" i="4"/>
  <c r="I40" i="4"/>
  <c r="O75" i="4" s="1"/>
  <c r="L40" i="4"/>
  <c r="P75" i="4" s="1"/>
  <c r="H41" i="4"/>
  <c r="I41" i="4"/>
  <c r="L41" i="4"/>
  <c r="P76" i="4" s="1"/>
  <c r="H42" i="4"/>
  <c r="I42" i="4"/>
  <c r="O77" i="4" s="1"/>
  <c r="L42" i="4"/>
  <c r="H43" i="4"/>
  <c r="I43" i="4"/>
  <c r="O78" i="4" s="1"/>
  <c r="L43" i="4"/>
  <c r="P78" i="4" s="1"/>
  <c r="H44" i="4"/>
  <c r="I44" i="4"/>
  <c r="O79" i="4" s="1"/>
  <c r="L44" i="4"/>
  <c r="P79" i="4" s="1"/>
  <c r="I32" i="4"/>
  <c r="L32" i="4"/>
  <c r="P67" i="4" s="1"/>
  <c r="L31" i="4"/>
  <c r="P66" i="4" s="1"/>
  <c r="H32" i="4"/>
  <c r="L18" i="12"/>
  <c r="AE15" i="12" s="1"/>
  <c r="AD15" i="12"/>
  <c r="W104" i="1"/>
  <c r="L48" i="4" s="1"/>
  <c r="B21" i="4"/>
  <c r="F21" i="4"/>
  <c r="B22" i="4"/>
  <c r="F22" i="4"/>
  <c r="B23" i="4"/>
  <c r="F23" i="4"/>
  <c r="B24" i="4"/>
  <c r="F24" i="4"/>
  <c r="B25" i="4"/>
  <c r="F25" i="4"/>
  <c r="O9" i="4"/>
  <c r="P9" i="4"/>
  <c r="R9" i="4" s="1"/>
  <c r="O10" i="4"/>
  <c r="P10" i="4"/>
  <c r="T10" i="4" s="1"/>
  <c r="V10" i="4"/>
  <c r="O11" i="4"/>
  <c r="P11" i="4"/>
  <c r="S11" i="4" s="1"/>
  <c r="O12" i="4"/>
  <c r="P12" i="4"/>
  <c r="S12" i="4" s="1"/>
  <c r="O13" i="4"/>
  <c r="P13" i="4"/>
  <c r="S13" i="4" s="1"/>
  <c r="O14" i="4"/>
  <c r="P14" i="4"/>
  <c r="S14" i="4" s="1"/>
  <c r="O15" i="4"/>
  <c r="P15" i="4"/>
  <c r="S15" i="4" s="1"/>
  <c r="O5" i="4"/>
  <c r="P5" i="4"/>
  <c r="R5" i="4" s="1"/>
  <c r="U5" i="4"/>
  <c r="O6" i="4"/>
  <c r="P6" i="4"/>
  <c r="T6" i="4" s="1"/>
  <c r="O7" i="4"/>
  <c r="P7" i="4"/>
  <c r="T7" i="4" s="1"/>
  <c r="O8" i="4"/>
  <c r="P8" i="4"/>
  <c r="T8" i="4" s="1"/>
  <c r="K36" i="12"/>
  <c r="G11" i="12"/>
  <c r="AD10" i="12" s="1"/>
  <c r="L11" i="12"/>
  <c r="AE10" i="12" s="1"/>
  <c r="AL46" i="1"/>
  <c r="AL47" i="1"/>
  <c r="AL48" i="1"/>
  <c r="AL49" i="1"/>
  <c r="AL50" i="1"/>
  <c r="AL51" i="1"/>
  <c r="AL45" i="1"/>
  <c r="L33" i="12"/>
  <c r="AE28" i="12" s="1"/>
  <c r="L34" i="12"/>
  <c r="AE29" i="12" s="1"/>
  <c r="L40" i="12"/>
  <c r="G40" i="12"/>
  <c r="G33" i="12"/>
  <c r="AD28" i="12" s="1"/>
  <c r="G34" i="12"/>
  <c r="AD29" i="12" s="1"/>
  <c r="J39" i="12"/>
  <c r="L39" i="12" s="1"/>
  <c r="AE34" i="12" s="1"/>
  <c r="J38" i="12"/>
  <c r="L38" i="12" s="1"/>
  <c r="AE33" i="12" s="1"/>
  <c r="J37" i="12"/>
  <c r="J35" i="12"/>
  <c r="L35" i="12" s="1"/>
  <c r="AE30" i="12" s="1"/>
  <c r="J32" i="12"/>
  <c r="L32" i="12" s="1"/>
  <c r="AE27" i="12" s="1"/>
  <c r="J30" i="12"/>
  <c r="L30" i="12" s="1"/>
  <c r="AE25" i="12" s="1"/>
  <c r="J29" i="12"/>
  <c r="L29" i="12" s="1"/>
  <c r="AE24" i="12" s="1"/>
  <c r="J28" i="12"/>
  <c r="L28" i="12" s="1"/>
  <c r="AE23" i="12" s="1"/>
  <c r="J27" i="12"/>
  <c r="L27" i="12" s="1"/>
  <c r="AE22" i="12" s="1"/>
  <c r="J26" i="12"/>
  <c r="L26" i="12" s="1"/>
  <c r="AE21" i="12" s="1"/>
  <c r="J25" i="12"/>
  <c r="L25" i="12" s="1"/>
  <c r="AE20" i="12" s="1"/>
  <c r="J24" i="12"/>
  <c r="L24" i="12" s="1"/>
  <c r="AE19" i="12" s="1"/>
  <c r="J23" i="12"/>
  <c r="L23" i="12" s="1"/>
  <c r="AE18" i="12" s="1"/>
  <c r="J22" i="12"/>
  <c r="L22" i="12" s="1"/>
  <c r="AE17" i="12" s="1"/>
  <c r="J21" i="12"/>
  <c r="L21" i="12" s="1"/>
  <c r="AE16" i="12" s="1"/>
  <c r="J17" i="12"/>
  <c r="L17" i="12" s="1"/>
  <c r="J15" i="12"/>
  <c r="L15" i="12" s="1"/>
  <c r="AE12" i="12" s="1"/>
  <c r="J14" i="12"/>
  <c r="L14" i="12" s="1"/>
  <c r="AE11" i="12" s="1"/>
  <c r="J10" i="12"/>
  <c r="L10" i="12" s="1"/>
  <c r="AE9" i="12" s="1"/>
  <c r="J7" i="12"/>
  <c r="L7" i="12" s="1"/>
  <c r="AE6" i="12" s="1"/>
  <c r="J6" i="12"/>
  <c r="L6" i="12" s="1"/>
  <c r="AE5" i="12" s="1"/>
  <c r="J5" i="12"/>
  <c r="L5" i="12" s="1"/>
  <c r="F39" i="12"/>
  <c r="G39" i="12" s="1"/>
  <c r="AD34" i="12" s="1"/>
  <c r="F38" i="12"/>
  <c r="G38" i="12" s="1"/>
  <c r="AD33" i="12" s="1"/>
  <c r="F37" i="12"/>
  <c r="G37" i="12" s="1"/>
  <c r="AD32" i="12" s="1"/>
  <c r="F36" i="12"/>
  <c r="G36" i="12" s="1"/>
  <c r="AD31" i="12" s="1"/>
  <c r="F35" i="12"/>
  <c r="G35" i="12" s="1"/>
  <c r="AD30" i="12" s="1"/>
  <c r="F32" i="12"/>
  <c r="G32" i="12" s="1"/>
  <c r="AD27" i="12" s="1"/>
  <c r="F30" i="12"/>
  <c r="G30" i="12" s="1"/>
  <c r="AD25" i="12" s="1"/>
  <c r="F29" i="12"/>
  <c r="G29" i="12" s="1"/>
  <c r="AD24" i="12" s="1"/>
  <c r="F28" i="12"/>
  <c r="G28" i="12" s="1"/>
  <c r="AD23" i="12" s="1"/>
  <c r="F27" i="12"/>
  <c r="G27" i="12" s="1"/>
  <c r="AD22" i="12" s="1"/>
  <c r="F26" i="12"/>
  <c r="G26" i="12" s="1"/>
  <c r="AD21" i="12" s="1"/>
  <c r="F25" i="12"/>
  <c r="G25" i="12" s="1"/>
  <c r="AD20" i="12" s="1"/>
  <c r="F24" i="12"/>
  <c r="G24" i="12" s="1"/>
  <c r="AD19" i="12" s="1"/>
  <c r="F23" i="12"/>
  <c r="G23" i="12" s="1"/>
  <c r="AD18" i="12" s="1"/>
  <c r="F22" i="12"/>
  <c r="G22" i="12" s="1"/>
  <c r="AD17" i="12" s="1"/>
  <c r="F21" i="12"/>
  <c r="G21" i="12" s="1"/>
  <c r="AD16" i="12" s="1"/>
  <c r="F17" i="12"/>
  <c r="G17" i="12" s="1"/>
  <c r="AD14" i="12" s="1"/>
  <c r="F15" i="12"/>
  <c r="G15" i="12" s="1"/>
  <c r="AD12" i="12" s="1"/>
  <c r="F14" i="12"/>
  <c r="G14" i="12" s="1"/>
  <c r="F10" i="12"/>
  <c r="G10" i="12" s="1"/>
  <c r="AD9" i="12" s="1"/>
  <c r="F7" i="12"/>
  <c r="G7" i="12" s="1"/>
  <c r="AD6" i="12" s="1"/>
  <c r="F6" i="12"/>
  <c r="G6" i="12" s="1"/>
  <c r="AD5" i="12" s="1"/>
  <c r="F5" i="12"/>
  <c r="G5" i="12" s="1"/>
  <c r="AD34" i="8"/>
  <c r="AD25" i="8"/>
  <c r="AD19" i="8"/>
  <c r="AX52" i="1"/>
  <c r="AW52" i="1"/>
  <c r="AX51" i="1"/>
  <c r="AW51" i="1"/>
  <c r="AX50" i="1"/>
  <c r="AW50" i="1"/>
  <c r="AX49" i="1"/>
  <c r="AW49" i="1"/>
  <c r="AX48" i="1"/>
  <c r="AW48" i="1"/>
  <c r="AX47" i="1"/>
  <c r="AW47" i="1"/>
  <c r="AX46" i="1"/>
  <c r="AW46" i="1"/>
  <c r="AX45" i="1"/>
  <c r="AW45" i="1"/>
  <c r="D1037" i="11"/>
  <c r="D967" i="11"/>
  <c r="D929" i="11"/>
  <c r="D882" i="11"/>
  <c r="D842" i="11"/>
  <c r="D812" i="11"/>
  <c r="D768" i="11"/>
  <c r="D726" i="11"/>
  <c r="D699" i="11"/>
  <c r="D672" i="11"/>
  <c r="D645" i="11"/>
  <c r="D608" i="11"/>
  <c r="D577" i="11"/>
  <c r="D544" i="11"/>
  <c r="D490" i="11"/>
  <c r="D457" i="11"/>
  <c r="D426" i="11"/>
  <c r="D385" i="11"/>
  <c r="D354" i="11"/>
  <c r="D323" i="11"/>
  <c r="D283" i="11"/>
  <c r="D223" i="11"/>
  <c r="D183" i="11"/>
  <c r="D143" i="11"/>
  <c r="D97" i="11"/>
  <c r="D59" i="11"/>
  <c r="D2" i="11"/>
  <c r="J1" i="11"/>
  <c r="G18" i="10"/>
  <c r="F18" i="10"/>
  <c r="G17" i="10"/>
  <c r="F17" i="10"/>
  <c r="G16" i="10"/>
  <c r="F16" i="10"/>
  <c r="G15" i="10"/>
  <c r="F15" i="10"/>
  <c r="G14" i="10"/>
  <c r="F14" i="10"/>
  <c r="G13" i="10"/>
  <c r="F13" i="10"/>
  <c r="G12" i="10"/>
  <c r="F12" i="10"/>
  <c r="G11" i="10"/>
  <c r="F11" i="10"/>
  <c r="G10" i="10"/>
  <c r="F10" i="10"/>
  <c r="G9" i="10"/>
  <c r="F9" i="10"/>
  <c r="G8" i="10"/>
  <c r="F8" i="10"/>
  <c r="G7" i="10"/>
  <c r="F7" i="10"/>
  <c r="G6" i="10"/>
  <c r="F6" i="10"/>
  <c r="G5" i="10"/>
  <c r="F5" i="10"/>
  <c r="G4" i="10"/>
  <c r="F4" i="10"/>
  <c r="L8" i="4"/>
  <c r="L3" i="4"/>
  <c r="H20" i="4"/>
  <c r="I20" i="4"/>
  <c r="O55" i="4" s="1"/>
  <c r="L20" i="4"/>
  <c r="P55" i="4" s="1"/>
  <c r="H21" i="4"/>
  <c r="I21" i="4"/>
  <c r="O56" i="4" s="1"/>
  <c r="L21" i="4"/>
  <c r="P56" i="4" s="1"/>
  <c r="H22" i="4"/>
  <c r="I22" i="4"/>
  <c r="O57" i="4" s="1"/>
  <c r="L22" i="4"/>
  <c r="P57" i="4" s="1"/>
  <c r="H23" i="4"/>
  <c r="I23" i="4"/>
  <c r="O58" i="4" s="1"/>
  <c r="L23" i="4"/>
  <c r="P58" i="4" s="1"/>
  <c r="H24" i="4"/>
  <c r="I24" i="4"/>
  <c r="O59" i="4" s="1"/>
  <c r="L24" i="4"/>
  <c r="P59" i="4" s="1"/>
  <c r="H29" i="4"/>
  <c r="I29" i="4"/>
  <c r="O64" i="4" s="1"/>
  <c r="L29" i="4"/>
  <c r="P64" i="4" s="1"/>
  <c r="H30" i="4"/>
  <c r="I30" i="4"/>
  <c r="O65" i="4" s="1"/>
  <c r="L30" i="4"/>
  <c r="P65" i="4" s="1"/>
  <c r="H31" i="4"/>
  <c r="I31" i="4"/>
  <c r="O66" i="4" s="1"/>
  <c r="L19" i="4"/>
  <c r="P54" i="4" s="1"/>
  <c r="H19" i="4"/>
  <c r="I19" i="4"/>
  <c r="O54" i="4" s="1"/>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20" i="4"/>
  <c r="F19" i="4"/>
  <c r="B58" i="4"/>
  <c r="B59" i="4"/>
  <c r="B60" i="4"/>
  <c r="B61" i="4"/>
  <c r="B62" i="4"/>
  <c r="B63" i="4"/>
  <c r="B64" i="4"/>
  <c r="B65"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26" i="4"/>
  <c r="B27" i="4"/>
  <c r="B20" i="4"/>
  <c r="B19" i="4"/>
  <c r="O3" i="4"/>
  <c r="P3" i="4"/>
  <c r="T3" i="4" s="1"/>
  <c r="P4" i="4"/>
  <c r="V4" i="4" s="1"/>
  <c r="P16" i="4"/>
  <c r="R16" i="4" s="1"/>
  <c r="P17" i="4"/>
  <c r="T17" i="4" s="1"/>
  <c r="P18" i="4"/>
  <c r="R18" i="4" s="1"/>
  <c r="P19" i="4"/>
  <c r="T19" i="4" s="1"/>
  <c r="P20" i="4"/>
  <c r="R20" i="4" s="1"/>
  <c r="P21" i="4"/>
  <c r="T21" i="4" s="1"/>
  <c r="P22" i="4"/>
  <c r="R22" i="4" s="1"/>
  <c r="P23" i="4"/>
  <c r="T23" i="4" s="1"/>
  <c r="P24" i="4"/>
  <c r="R24" i="4" s="1"/>
  <c r="P25" i="4"/>
  <c r="T25" i="4" s="1"/>
  <c r="P26" i="4"/>
  <c r="R26" i="4" s="1"/>
  <c r="P27" i="4"/>
  <c r="T27" i="4" s="1"/>
  <c r="P28" i="4"/>
  <c r="R28" i="4" s="1"/>
  <c r="P29" i="4"/>
  <c r="T29" i="4" s="1"/>
  <c r="P30" i="4"/>
  <c r="R30" i="4" s="1"/>
  <c r="P31" i="4"/>
  <c r="T31" i="4" s="1"/>
  <c r="P32" i="4"/>
  <c r="R32" i="4" s="1"/>
  <c r="P33" i="4"/>
  <c r="T33" i="4" s="1"/>
  <c r="P34" i="4"/>
  <c r="R34" i="4" s="1"/>
  <c r="P35" i="4"/>
  <c r="T35" i="4" s="1"/>
  <c r="P36" i="4"/>
  <c r="R36" i="4" s="1"/>
  <c r="P37" i="4"/>
  <c r="T37" i="4" s="1"/>
  <c r="P38" i="4"/>
  <c r="R38" i="4" s="1"/>
  <c r="P39" i="4"/>
  <c r="T39" i="4" s="1"/>
  <c r="P40" i="4"/>
  <c r="R40" i="4" s="1"/>
  <c r="P41" i="4"/>
  <c r="T41" i="4" s="1"/>
  <c r="P42" i="4"/>
  <c r="R42" i="4" s="1"/>
  <c r="P43" i="4"/>
  <c r="T43" i="4" s="1"/>
  <c r="P44" i="4"/>
  <c r="R44" i="4" s="1"/>
  <c r="P45" i="4"/>
  <c r="T45" i="4" s="1"/>
  <c r="P46" i="4"/>
  <c r="R46" i="4" s="1"/>
  <c r="P47" i="4"/>
  <c r="T47" i="4" s="1"/>
  <c r="P48" i="4"/>
  <c r="R48" i="4" s="1"/>
  <c r="P49" i="4"/>
  <c r="T49" i="4" s="1"/>
  <c r="P50" i="4"/>
  <c r="R50" i="4" s="1"/>
  <c r="P51" i="4"/>
  <c r="T51" i="4" s="1"/>
  <c r="P52" i="4"/>
  <c r="R52" i="4" s="1"/>
  <c r="P53" i="4"/>
  <c r="T53" i="4" s="1"/>
  <c r="O4" i="4"/>
  <c r="O50" i="4"/>
  <c r="O51" i="4"/>
  <c r="O52" i="4"/>
  <c r="O53"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B1" i="4"/>
  <c r="L12" i="4"/>
  <c r="L7" i="4"/>
  <c r="L2" i="4"/>
  <c r="H7" i="4"/>
  <c r="J7" i="4" s="1"/>
  <c r="E16" i="4"/>
  <c r="E15" i="4"/>
  <c r="E14" i="4"/>
  <c r="E13" i="4"/>
  <c r="J16" i="4"/>
  <c r="J15" i="4"/>
  <c r="J14" i="4"/>
  <c r="J13" i="4"/>
  <c r="J11" i="4"/>
  <c r="J10" i="4"/>
  <c r="J9" i="4"/>
  <c r="J8" i="4"/>
  <c r="E11" i="4"/>
  <c r="E10" i="4"/>
  <c r="E9" i="4"/>
  <c r="E8" i="4"/>
  <c r="J6" i="4"/>
  <c r="J5" i="4"/>
  <c r="J4" i="4"/>
  <c r="J3" i="4"/>
  <c r="E6" i="4"/>
  <c r="E5" i="4"/>
  <c r="E4" i="4"/>
  <c r="P15" i="1"/>
  <c r="J9" i="12" s="1"/>
  <c r="L9" i="12" s="1"/>
  <c r="H15" i="1"/>
  <c r="F8" i="12" s="1"/>
  <c r="G8" i="12" s="1"/>
  <c r="AD7" i="12" s="1"/>
  <c r="K113" i="6" l="1"/>
  <c r="J114" i="6" s="1"/>
  <c r="K114" i="6" s="1"/>
  <c r="J115" i="6" s="1"/>
  <c r="I116" i="6"/>
  <c r="D104" i="6" s="1"/>
  <c r="L37" i="12"/>
  <c r="AE32" i="12" s="1"/>
  <c r="F104" i="6"/>
  <c r="G104" i="6" s="1"/>
  <c r="J90" i="6"/>
  <c r="M88" i="6"/>
  <c r="I85" i="6" s="1"/>
  <c r="J88" i="6"/>
  <c r="J89" i="6"/>
  <c r="H85" i="6"/>
  <c r="W75" i="4"/>
  <c r="T75" i="4"/>
  <c r="U71" i="4"/>
  <c r="W71" i="4"/>
  <c r="R71" i="4"/>
  <c r="S71" i="4"/>
  <c r="V71" i="4"/>
  <c r="T71" i="4"/>
  <c r="U63" i="4"/>
  <c r="W63" i="4"/>
  <c r="R63" i="4"/>
  <c r="S63" i="4"/>
  <c r="V63" i="4"/>
  <c r="T63" i="4"/>
  <c r="W76" i="4"/>
  <c r="T76" i="4"/>
  <c r="U64" i="4"/>
  <c r="S64" i="4"/>
  <c r="W64" i="4"/>
  <c r="R64" i="4"/>
  <c r="V64" i="4"/>
  <c r="T64" i="4"/>
  <c r="U67" i="4"/>
  <c r="W67" i="4"/>
  <c r="R67" i="4"/>
  <c r="S67" i="4"/>
  <c r="V67" i="4"/>
  <c r="T67" i="4"/>
  <c r="W79" i="4"/>
  <c r="T79" i="4"/>
  <c r="U66" i="4"/>
  <c r="V66" i="4"/>
  <c r="R66" i="4"/>
  <c r="T66" i="4"/>
  <c r="S66" i="4"/>
  <c r="W66" i="4"/>
  <c r="U72" i="4"/>
  <c r="S72" i="4"/>
  <c r="T72" i="4"/>
  <c r="W72" i="4"/>
  <c r="R72" i="4"/>
  <c r="V72" i="4"/>
  <c r="U68" i="4"/>
  <c r="S68" i="4"/>
  <c r="T68" i="4"/>
  <c r="W68" i="4"/>
  <c r="R68" i="4"/>
  <c r="V68" i="4"/>
  <c r="U60" i="4"/>
  <c r="S60" i="4"/>
  <c r="W60" i="4"/>
  <c r="R60" i="4"/>
  <c r="T60" i="4"/>
  <c r="V60" i="4"/>
  <c r="U65" i="4"/>
  <c r="T65" i="4"/>
  <c r="S65" i="4"/>
  <c r="V65" i="4"/>
  <c r="W65" i="4"/>
  <c r="R65" i="4"/>
  <c r="W78" i="4"/>
  <c r="T78" i="4"/>
  <c r="W74" i="4"/>
  <c r="T74" i="4"/>
  <c r="U70" i="4"/>
  <c r="V70" i="4"/>
  <c r="T70" i="4"/>
  <c r="W70" i="4"/>
  <c r="S70" i="4"/>
  <c r="R70" i="4"/>
  <c r="U62" i="4"/>
  <c r="V62" i="4"/>
  <c r="T62" i="4"/>
  <c r="R62" i="4"/>
  <c r="S62" i="4"/>
  <c r="W62" i="4"/>
  <c r="R61" i="4"/>
  <c r="W61" i="4"/>
  <c r="R69" i="4"/>
  <c r="W69" i="4"/>
  <c r="T73" i="4"/>
  <c r="T77" i="4"/>
  <c r="U11" i="4"/>
  <c r="S61" i="4"/>
  <c r="S69" i="4"/>
  <c r="V61" i="4"/>
  <c r="V69" i="4"/>
  <c r="R12" i="4"/>
  <c r="R11" i="4"/>
  <c r="T61" i="4"/>
  <c r="T69" i="4"/>
  <c r="U73" i="4"/>
  <c r="U76" i="4"/>
  <c r="U77" i="4"/>
  <c r="U78" i="4"/>
  <c r="U79" i="4"/>
  <c r="R73" i="4"/>
  <c r="V73" i="4"/>
  <c r="R74" i="4"/>
  <c r="V74" i="4"/>
  <c r="R75" i="4"/>
  <c r="V75" i="4"/>
  <c r="R76" i="4"/>
  <c r="V76" i="4"/>
  <c r="R77" i="4"/>
  <c r="V77" i="4"/>
  <c r="R78" i="4"/>
  <c r="V78" i="4"/>
  <c r="R79" i="4"/>
  <c r="V79" i="4"/>
  <c r="U74" i="4"/>
  <c r="U75" i="4"/>
  <c r="S73" i="4"/>
  <c r="S74" i="4"/>
  <c r="S75" i="4"/>
  <c r="S76" i="4"/>
  <c r="S77" i="4"/>
  <c r="S78" i="4"/>
  <c r="S79" i="4"/>
  <c r="U7" i="4"/>
  <c r="V15" i="4"/>
  <c r="U15" i="4"/>
  <c r="V14" i="4"/>
  <c r="U6" i="4"/>
  <c r="R15" i="4"/>
  <c r="U14" i="4"/>
  <c r="V11" i="4"/>
  <c r="V13" i="4"/>
  <c r="R14" i="4"/>
  <c r="U13" i="4"/>
  <c r="V12" i="4"/>
  <c r="R13" i="4"/>
  <c r="U12" i="4"/>
  <c r="U10" i="4"/>
  <c r="T9" i="4"/>
  <c r="T15" i="4"/>
  <c r="T14" i="4"/>
  <c r="T13" i="4"/>
  <c r="T12" i="4"/>
  <c r="T11" i="4"/>
  <c r="S10" i="4"/>
  <c r="W9" i="4"/>
  <c r="S9" i="4"/>
  <c r="U9" i="4"/>
  <c r="W15" i="4"/>
  <c r="W14" i="4"/>
  <c r="W13" i="4"/>
  <c r="W12" i="4"/>
  <c r="W11" i="4"/>
  <c r="W10" i="4"/>
  <c r="R10" i="4"/>
  <c r="V9" i="4"/>
  <c r="W8" i="4"/>
  <c r="AE35" i="12"/>
  <c r="AD35" i="12"/>
  <c r="AD4" i="12"/>
  <c r="AE14" i="12"/>
  <c r="AD11" i="12"/>
  <c r="AE4" i="12"/>
  <c r="AE8" i="12"/>
  <c r="T5" i="4"/>
  <c r="S8" i="4"/>
  <c r="W7" i="4"/>
  <c r="S7" i="4"/>
  <c r="W6" i="4"/>
  <c r="S6" i="4"/>
  <c r="W5" i="4"/>
  <c r="S5" i="4"/>
  <c r="V8" i="4"/>
  <c r="R8" i="4"/>
  <c r="V7" i="4"/>
  <c r="R7" i="4"/>
  <c r="V6" i="4"/>
  <c r="R6" i="4"/>
  <c r="V5" i="4"/>
  <c r="U8" i="4"/>
  <c r="F9" i="12"/>
  <c r="G9" i="12" s="1"/>
  <c r="AD8" i="12" s="1"/>
  <c r="AX53" i="1"/>
  <c r="AW53" i="1"/>
  <c r="F19" i="10"/>
  <c r="G19" i="10"/>
  <c r="U56" i="4"/>
  <c r="R56" i="4"/>
  <c r="W56" i="4"/>
  <c r="U58" i="4"/>
  <c r="S58" i="4"/>
  <c r="S57" i="4"/>
  <c r="R57" i="4"/>
  <c r="V57" i="4"/>
  <c r="S59" i="4"/>
  <c r="V59" i="4"/>
  <c r="R59" i="4"/>
  <c r="U55" i="4"/>
  <c r="V55" i="4"/>
  <c r="R55" i="4"/>
  <c r="U54" i="4"/>
  <c r="R54" i="4"/>
  <c r="W58" i="4"/>
  <c r="R58" i="4"/>
  <c r="V56" i="4"/>
  <c r="R4" i="4"/>
  <c r="V58" i="4"/>
  <c r="T56" i="4"/>
  <c r="S4" i="4"/>
  <c r="T58" i="4"/>
  <c r="S56" i="4"/>
  <c r="U59" i="4"/>
  <c r="U57" i="4"/>
  <c r="T59" i="4"/>
  <c r="T57" i="4"/>
  <c r="T55" i="4"/>
  <c r="W59" i="4"/>
  <c r="W57" i="4"/>
  <c r="W55" i="4"/>
  <c r="S55" i="4"/>
  <c r="T54" i="4"/>
  <c r="W54" i="4"/>
  <c r="S54" i="4"/>
  <c r="V54" i="4"/>
  <c r="S51" i="4"/>
  <c r="S43" i="4"/>
  <c r="S35" i="4"/>
  <c r="S27" i="4"/>
  <c r="S19" i="4"/>
  <c r="U50" i="4"/>
  <c r="U42" i="4"/>
  <c r="U34" i="4"/>
  <c r="U22" i="4"/>
  <c r="U52" i="4"/>
  <c r="U48" i="4"/>
  <c r="U44" i="4"/>
  <c r="U40" i="4"/>
  <c r="U36" i="4"/>
  <c r="U32" i="4"/>
  <c r="U28" i="4"/>
  <c r="U24" i="4"/>
  <c r="U20" i="4"/>
  <c r="U16" i="4"/>
  <c r="S47" i="4"/>
  <c r="S39" i="4"/>
  <c r="S31" i="4"/>
  <c r="S23" i="4"/>
  <c r="U46" i="4"/>
  <c r="U38" i="4"/>
  <c r="U30" i="4"/>
  <c r="U26" i="4"/>
  <c r="U18" i="4"/>
  <c r="W51" i="4"/>
  <c r="W47" i="4"/>
  <c r="W43" i="4"/>
  <c r="W39" i="4"/>
  <c r="W35" i="4"/>
  <c r="W31" i="4"/>
  <c r="W27" i="4"/>
  <c r="W23" i="4"/>
  <c r="W19" i="4"/>
  <c r="V3" i="4"/>
  <c r="R3" i="4"/>
  <c r="W53" i="4"/>
  <c r="S49" i="4"/>
  <c r="W41" i="4"/>
  <c r="W37" i="4"/>
  <c r="S33" i="4"/>
  <c r="S29" i="4"/>
  <c r="W25" i="4"/>
  <c r="W17" i="4"/>
  <c r="S17" i="4"/>
  <c r="V53" i="4"/>
  <c r="R53" i="4"/>
  <c r="T52" i="4"/>
  <c r="V51" i="4"/>
  <c r="R51" i="4"/>
  <c r="T50" i="4"/>
  <c r="V49" i="4"/>
  <c r="R49" i="4"/>
  <c r="T48" i="4"/>
  <c r="V47" i="4"/>
  <c r="R47" i="4"/>
  <c r="T46" i="4"/>
  <c r="V45" i="4"/>
  <c r="R45" i="4"/>
  <c r="T44" i="4"/>
  <c r="V43" i="4"/>
  <c r="R43" i="4"/>
  <c r="T42" i="4"/>
  <c r="V41" i="4"/>
  <c r="R41" i="4"/>
  <c r="T40" i="4"/>
  <c r="V39" i="4"/>
  <c r="R39" i="4"/>
  <c r="T38" i="4"/>
  <c r="V37" i="4"/>
  <c r="R37" i="4"/>
  <c r="T36" i="4"/>
  <c r="V35" i="4"/>
  <c r="R35" i="4"/>
  <c r="T34" i="4"/>
  <c r="V33" i="4"/>
  <c r="R33" i="4"/>
  <c r="T32" i="4"/>
  <c r="V31" i="4"/>
  <c r="R31" i="4"/>
  <c r="T30" i="4"/>
  <c r="V29" i="4"/>
  <c r="R29" i="4"/>
  <c r="T28" i="4"/>
  <c r="V27" i="4"/>
  <c r="R27" i="4"/>
  <c r="T26" i="4"/>
  <c r="V25" i="4"/>
  <c r="R25" i="4"/>
  <c r="T24" i="4"/>
  <c r="V23" i="4"/>
  <c r="R23" i="4"/>
  <c r="T22" i="4"/>
  <c r="V21" i="4"/>
  <c r="R21" i="4"/>
  <c r="T20" i="4"/>
  <c r="V19" i="4"/>
  <c r="R19" i="4"/>
  <c r="T18" i="4"/>
  <c r="V17" i="4"/>
  <c r="R17" i="4"/>
  <c r="T16" i="4"/>
  <c r="S53" i="4"/>
  <c r="W49" i="4"/>
  <c r="S45" i="4"/>
  <c r="S37" i="4"/>
  <c r="W33" i="4"/>
  <c r="W29" i="4"/>
  <c r="S25" i="4"/>
  <c r="W21" i="4"/>
  <c r="U53" i="4"/>
  <c r="W52" i="4"/>
  <c r="S52" i="4"/>
  <c r="U51" i="4"/>
  <c r="W50" i="4"/>
  <c r="S50" i="4"/>
  <c r="U49" i="4"/>
  <c r="W48" i="4"/>
  <c r="S48" i="4"/>
  <c r="U47" i="4"/>
  <c r="W46" i="4"/>
  <c r="S46" i="4"/>
  <c r="U45" i="4"/>
  <c r="W44" i="4"/>
  <c r="S44" i="4"/>
  <c r="U43" i="4"/>
  <c r="W42" i="4"/>
  <c r="S42" i="4"/>
  <c r="U41" i="4"/>
  <c r="W40" i="4"/>
  <c r="S40" i="4"/>
  <c r="U39" i="4"/>
  <c r="W38" i="4"/>
  <c r="S38" i="4"/>
  <c r="U37" i="4"/>
  <c r="W36" i="4"/>
  <c r="S36" i="4"/>
  <c r="U35" i="4"/>
  <c r="W34" i="4"/>
  <c r="S34" i="4"/>
  <c r="U33" i="4"/>
  <c r="W32" i="4"/>
  <c r="S32" i="4"/>
  <c r="U31" i="4"/>
  <c r="W30" i="4"/>
  <c r="S30" i="4"/>
  <c r="U29" i="4"/>
  <c r="W28" i="4"/>
  <c r="S28" i="4"/>
  <c r="U27" i="4"/>
  <c r="W26" i="4"/>
  <c r="S26" i="4"/>
  <c r="U25" i="4"/>
  <c r="W24" i="4"/>
  <c r="S24" i="4"/>
  <c r="U23" i="4"/>
  <c r="W22" i="4"/>
  <c r="S22" i="4"/>
  <c r="U21" i="4"/>
  <c r="W20" i="4"/>
  <c r="S20" i="4"/>
  <c r="U19" i="4"/>
  <c r="W18" i="4"/>
  <c r="S18" i="4"/>
  <c r="U17" i="4"/>
  <c r="W16" i="4"/>
  <c r="S16" i="4"/>
  <c r="W45" i="4"/>
  <c r="S41" i="4"/>
  <c r="S21" i="4"/>
  <c r="V52" i="4"/>
  <c r="V50" i="4"/>
  <c r="V48" i="4"/>
  <c r="V46" i="4"/>
  <c r="V44" i="4"/>
  <c r="V42" i="4"/>
  <c r="V40" i="4"/>
  <c r="V38" i="4"/>
  <c r="V36" i="4"/>
  <c r="V34" i="4"/>
  <c r="V32" i="4"/>
  <c r="V30" i="4"/>
  <c r="V28" i="4"/>
  <c r="V26" i="4"/>
  <c r="V24" i="4"/>
  <c r="V22" i="4"/>
  <c r="V20" i="4"/>
  <c r="V18" i="4"/>
  <c r="V16" i="4"/>
  <c r="U3" i="4"/>
  <c r="U4" i="4"/>
  <c r="S3" i="4"/>
  <c r="W3" i="4"/>
  <c r="T4" i="4"/>
  <c r="W4" i="4"/>
  <c r="R36" i="7"/>
  <c r="N36" i="7"/>
  <c r="L36" i="7"/>
  <c r="J36" i="7"/>
  <c r="J34" i="7" s="1"/>
  <c r="R34" i="7"/>
  <c r="N34" i="7"/>
  <c r="R7" i="7"/>
  <c r="N7" i="7"/>
  <c r="L7" i="7"/>
  <c r="J7" i="7"/>
  <c r="R5" i="7"/>
  <c r="N5" i="7"/>
  <c r="J5" i="7"/>
  <c r="N12" i="1"/>
  <c r="E3" i="4"/>
  <c r="J85" i="6" l="1"/>
  <c r="E2" i="4"/>
  <c r="P21" i="1"/>
  <c r="H21" i="1"/>
  <c r="P27" i="1"/>
  <c r="H38" i="1"/>
  <c r="E12" i="4" l="1"/>
  <c r="F31" i="12"/>
  <c r="G31" i="12" s="1"/>
  <c r="AD26" i="12" s="1"/>
  <c r="J31" i="12"/>
  <c r="L31" i="12" s="1"/>
  <c r="AE26" i="12" s="1"/>
  <c r="E7" i="4"/>
  <c r="F16" i="12"/>
  <c r="G16" i="12" s="1"/>
  <c r="J16" i="12"/>
  <c r="L16" i="12" s="1"/>
  <c r="AE13" i="12" s="1"/>
  <c r="H26" i="1"/>
  <c r="H104" i="6" s="1"/>
  <c r="I104" i="6" s="1"/>
  <c r="H20" i="1"/>
  <c r="S20" i="1" l="1"/>
  <c r="E104" i="6"/>
  <c r="AD13" i="12"/>
  <c r="AD36" i="12" s="1"/>
  <c r="G41" i="12"/>
  <c r="L14" i="1"/>
  <c r="AE7" i="12"/>
  <c r="L26" i="1"/>
  <c r="J36" i="12"/>
  <c r="L36" i="12" s="1"/>
  <c r="AE31" i="12" s="1"/>
  <c r="L20" i="1"/>
  <c r="N20" i="1"/>
  <c r="P103" i="1" l="1"/>
  <c r="P85" i="1"/>
  <c r="P101" i="1"/>
  <c r="P78" i="1"/>
  <c r="P94" i="1"/>
  <c r="P80" i="1"/>
  <c r="P83" i="1"/>
  <c r="P99" i="1"/>
  <c r="P92" i="1"/>
  <c r="P107" i="1"/>
  <c r="P96" i="1"/>
  <c r="P100" i="1"/>
  <c r="P76" i="1"/>
  <c r="P89" i="1"/>
  <c r="P105" i="1"/>
  <c r="P82" i="1"/>
  <c r="P98" i="1"/>
  <c r="P87" i="1"/>
  <c r="P97" i="1"/>
  <c r="P104" i="1"/>
  <c r="P77" i="1"/>
  <c r="P93" i="1"/>
  <c r="P84" i="1"/>
  <c r="P86" i="1"/>
  <c r="P102" i="1"/>
  <c r="P91" i="1"/>
  <c r="P88" i="1"/>
  <c r="P81" i="1"/>
  <c r="P90" i="1"/>
  <c r="P106" i="1"/>
  <c r="P95" i="1"/>
  <c r="AE36" i="12"/>
  <c r="P79" i="1"/>
  <c r="L41" i="12"/>
  <c r="L44" i="12" s="1"/>
  <c r="W105" i="1" l="1"/>
  <c r="W107" i="1" l="1"/>
  <c r="L47" i="4"/>
  <c r="L49" i="4" l="1"/>
  <c r="L66" i="4" s="1"/>
  <c r="L78" i="4"/>
  <c r="L74" i="4"/>
  <c r="L77" i="4"/>
  <c r="L73" i="4"/>
  <c r="L76" i="4"/>
  <c r="L72" i="4"/>
  <c r="L75" i="4"/>
</calcChain>
</file>

<file path=xl/sharedStrings.xml><?xml version="1.0" encoding="utf-8"?>
<sst xmlns="http://schemas.openxmlformats.org/spreadsheetml/2006/main" count="6274" uniqueCount="3973">
  <si>
    <t>Name:</t>
  </si>
  <si>
    <t/>
  </si>
  <si>
    <t>Player:</t>
  </si>
  <si>
    <t xml:space="preserve">MYTHUS™ ADVENTURE EQUIPMENT SHEET </t>
  </si>
  <si>
    <t>USE ADDITIONAL SHEETS AS NECESSARY</t>
  </si>
  <si>
    <t>Vocation:</t>
  </si>
  <si>
    <t>SEC:</t>
  </si>
  <si>
    <t>Net Worth:</t>
  </si>
  <si>
    <t>Joss Factors:</t>
  </si>
  <si>
    <t>Bank Accounts:</t>
  </si>
  <si>
    <t>Sex:</t>
  </si>
  <si>
    <t>Cash On Hand:</t>
  </si>
  <si>
    <t>Age:</t>
  </si>
  <si>
    <t>Disp. Mo. Income:</t>
  </si>
  <si>
    <t>CHARACTERISTICS</t>
  </si>
  <si>
    <t>HEROIC PERSONA ARMOR AND WEAPONS</t>
  </si>
  <si>
    <t xml:space="preserve">MENTAL TRAIT </t>
  </si>
  <si>
    <t>(M):</t>
  </si>
  <si>
    <t>EL</t>
  </si>
  <si>
    <t xml:space="preserve"> ARMOR</t>
  </si>
  <si>
    <t xml:space="preserve"> CATEGORY</t>
  </si>
  <si>
    <t>PIR</t>
  </si>
  <si>
    <t>CUT</t>
  </si>
  <si>
    <t>BLNT</t>
  </si>
  <si>
    <t>FIRE</t>
  </si>
  <si>
    <t>CHEM</t>
  </si>
  <si>
    <t>STUN</t>
  </si>
  <si>
    <t>ELEC</t>
  </si>
  <si>
    <t>AVG</t>
  </si>
  <si>
    <t>NOTES</t>
  </si>
  <si>
    <t>MNEMONIC</t>
  </si>
  <si>
    <t>(MM):</t>
  </si>
  <si>
    <t>REASONING</t>
  </si>
  <si>
    <t>(MR):</t>
  </si>
  <si>
    <t xml:space="preserve">CAPACITY </t>
  </si>
  <si>
    <t>(MMCap):</t>
  </si>
  <si>
    <t>(MRCap):</t>
  </si>
  <si>
    <t>POWER</t>
  </si>
  <si>
    <t>(MMPow):</t>
  </si>
  <si>
    <t>(MRPow):</t>
  </si>
  <si>
    <t>SPEED</t>
  </si>
  <si>
    <t>(MMSpd):</t>
  </si>
  <si>
    <t>(MRSpd):</t>
  </si>
  <si>
    <t>PHYSICAL TRAIT</t>
  </si>
  <si>
    <t>(P):</t>
  </si>
  <si>
    <t>RL</t>
  </si>
  <si>
    <t>WL</t>
  </si>
  <si>
    <t>CL</t>
  </si>
  <si>
    <t>HAND WEAPONS</t>
  </si>
  <si>
    <t>SUB-AREA</t>
  </si>
  <si>
    <t>WP</t>
  </si>
  <si>
    <t>C</t>
  </si>
  <si>
    <t>S</t>
  </si>
  <si>
    <t>TYPE</t>
  </si>
  <si>
    <t>D AMT</t>
  </si>
  <si>
    <t>REACH</t>
  </si>
  <si>
    <t>PRICE</t>
  </si>
  <si>
    <t xml:space="preserve">    BAC</t>
  </si>
  <si>
    <t xml:space="preserve">  DURABILITY</t>
  </si>
  <si>
    <t>MUSCULAR</t>
  </si>
  <si>
    <t>(PM):</t>
  </si>
  <si>
    <t>NEURAL</t>
  </si>
  <si>
    <t>(PN):</t>
  </si>
  <si>
    <t>(PMCap):</t>
  </si>
  <si>
    <t>(PNCap):</t>
  </si>
  <si>
    <t>(PMPow):</t>
  </si>
  <si>
    <t>(PNPow):</t>
  </si>
  <si>
    <t>(PMSpd):</t>
  </si>
  <si>
    <t>(PNSpd):</t>
  </si>
  <si>
    <t>SPIRITUAL TRAIT</t>
  </si>
  <si>
    <t>(S):</t>
  </si>
  <si>
    <t>RESOURCES:</t>
  </si>
  <si>
    <t>MISSILE WEAPONS</t>
  </si>
  <si>
    <t>T</t>
  </si>
  <si>
    <t>R of F</t>
  </si>
  <si>
    <t>PB</t>
  </si>
  <si>
    <t>M</t>
  </si>
  <si>
    <t>L</t>
  </si>
  <si>
    <t>E</t>
  </si>
  <si>
    <t>METAPHYSICAL</t>
  </si>
  <si>
    <t>(SM):</t>
  </si>
  <si>
    <t>PSYCHIC</t>
  </si>
  <si>
    <t>(SP):</t>
  </si>
  <si>
    <t>Sp Connect:</t>
  </si>
  <si>
    <t>(SMCap):</t>
  </si>
  <si>
    <t>(SPCap):</t>
  </si>
  <si>
    <t>(SMPow):</t>
  </si>
  <si>
    <t>(SPPow):</t>
  </si>
  <si>
    <t>Armor:</t>
  </si>
  <si>
    <t>(SMSpd):</t>
  </si>
  <si>
    <t>(SPSpd):</t>
  </si>
  <si>
    <t>Weapon:</t>
  </si>
  <si>
    <t>GENERAL INFORMATION</t>
  </si>
  <si>
    <t>PHYSICAL DESCRIPTION:</t>
  </si>
  <si>
    <t>Attractiveness:</t>
  </si>
  <si>
    <t>Handedness:</t>
  </si>
  <si>
    <t>Height:</t>
  </si>
  <si>
    <t>in.</t>
  </si>
  <si>
    <t>Weight:</t>
  </si>
  <si>
    <t>Race/Sub:</t>
  </si>
  <si>
    <t>Hair color:</t>
  </si>
  <si>
    <t>Eye color:</t>
  </si>
  <si>
    <t>Brief Description:</t>
  </si>
  <si>
    <t>BACKGROUND:</t>
  </si>
  <si>
    <t>Birth rank:</t>
  </si>
  <si>
    <t>Gen'l Personality:</t>
  </si>
  <si>
    <t>Personality Trait:</t>
  </si>
  <si>
    <t xml:space="preserve"> </t>
  </si>
  <si>
    <t>Conformity:</t>
  </si>
  <si>
    <t>Interests:</t>
  </si>
  <si>
    <t>Political Beliefs:</t>
  </si>
  <si>
    <t>Religion:</t>
  </si>
  <si>
    <t>Quirk:</t>
  </si>
  <si>
    <t>Survival</t>
  </si>
  <si>
    <t>K/S AREA</t>
  </si>
  <si>
    <t>STEEP</t>
  </si>
  <si>
    <t>s</t>
  </si>
  <si>
    <t>HEKA FROM K/S STEEP</t>
  </si>
  <si>
    <t>Etiquette/Social Graces</t>
  </si>
  <si>
    <t>HEKA</t>
  </si>
  <si>
    <t>Native Tongue</t>
  </si>
  <si>
    <t>Trade Language/Nature Tongue</t>
  </si>
  <si>
    <t>K/S</t>
  </si>
  <si>
    <t>CG</t>
  </si>
  <si>
    <t>SPECIALIZED SUB-AREAS USE K/S STEEP x 1.5</t>
  </si>
  <si>
    <t>Current Events</t>
  </si>
  <si>
    <t>Mount, Cart, or Wagon:</t>
  </si>
  <si>
    <t>MYTHUS™</t>
  </si>
  <si>
    <t>MYTHUS KNOWLEDGE AND SKILLS SHEET</t>
  </si>
  <si>
    <t>Race:</t>
  </si>
  <si>
    <t>Heroic Persona Sheet</t>
  </si>
  <si>
    <t>HEKA FROM POOLS</t>
  </si>
  <si>
    <t>ITEM</t>
  </si>
  <si>
    <t xml:space="preserve">HP'S TOTAL HEKA: </t>
  </si>
  <si>
    <t>MYTHUS MAGICKAL CASTING SHEET</t>
  </si>
  <si>
    <t>NAME</t>
  </si>
  <si>
    <t>Fantasy Roleplaying Game</t>
  </si>
  <si>
    <t>DMG</t>
  </si>
  <si>
    <t>BONUS</t>
  </si>
  <si>
    <t>Known</t>
  </si>
  <si>
    <t>Recallable</t>
  </si>
  <si>
    <t>Spellbook</t>
  </si>
  <si>
    <t>o</t>
  </si>
  <si>
    <t>TIME</t>
  </si>
  <si>
    <t>AREA</t>
  </si>
  <si>
    <t>DISTANCE</t>
  </si>
  <si>
    <t>EFFECT</t>
  </si>
  <si>
    <t>Persona:</t>
  </si>
  <si>
    <t>Dweomercraeft, General Castings</t>
  </si>
  <si>
    <t>21 total</t>
  </si>
  <si>
    <t>17 Total</t>
  </si>
  <si>
    <t>14 Total</t>
  </si>
  <si>
    <t>Armor, Physical CANTRIP</t>
  </si>
  <si>
    <t>Armor, Mental CANTRIP</t>
  </si>
  <si>
    <t>Alert RITUAL</t>
  </si>
  <si>
    <t>Avoid Deadly Attack FORMULA</t>
  </si>
  <si>
    <t>Buttress CHARM</t>
  </si>
  <si>
    <t>Armor, Spiritual CANTRIP</t>
  </si>
  <si>
    <t>Bounce CHARM</t>
  </si>
  <si>
    <t>Circle of Magick RITUAL</t>
  </si>
  <si>
    <t>Avoid Heka Attack RITUAL</t>
  </si>
  <si>
    <t>Dalthor's Distraction CHARM</t>
  </si>
  <si>
    <t>Dalthor's Good Luck CHARM</t>
  </si>
  <si>
    <t>Dalthor’s Reservoir Link FORMULA</t>
  </si>
  <si>
    <t>Detect Heka SPELL</t>
  </si>
  <si>
    <t>Directed Force CANTRIP</t>
  </si>
  <si>
    <t>Dispel Invisibility CANTRIP</t>
  </si>
  <si>
    <t>Disembodied Voice FORMULA</t>
  </si>
  <si>
    <t>Easyspeak CHARM</t>
  </si>
  <si>
    <t>Flight CANTRIP</t>
  </si>
  <si>
    <t>Disjunction CHARM</t>
  </si>
  <si>
    <t>Forcedart CHARM</t>
  </si>
  <si>
    <t>Heka Darts CHARM</t>
  </si>
  <si>
    <t>Lock CHARM</t>
  </si>
  <si>
    <t>Halefellow CHARM</t>
  </si>
  <si>
    <t>Implant SPELL</t>
  </si>
  <si>
    <t>Lockopen CHARM</t>
  </si>
  <si>
    <t>Heka Trap SPELL</t>
  </si>
  <si>
    <t>Lasting Illumination SPELL</t>
  </si>
  <si>
    <t>Magick Lock SPELL</t>
  </si>
  <si>
    <t>Hold Effects SPELL</t>
  </si>
  <si>
    <t>Magick Trail FORMULA</t>
  </si>
  <si>
    <t>Quicken CANTRIP</t>
  </si>
  <si>
    <t>Levitate CANTRIP</t>
  </si>
  <si>
    <t>Multilingual SPELL</t>
  </si>
  <si>
    <t>Reflections RITUAL</t>
  </si>
  <si>
    <t>Maximus SPELL</t>
  </si>
  <si>
    <t>Resist Temperatures SPELL</t>
  </si>
  <si>
    <t>Shutfast CHARM</t>
  </si>
  <si>
    <t>Minimus SPELL</t>
  </si>
  <si>
    <t>Ritual of the Archer RITUAL</t>
  </si>
  <si>
    <t>Spiderwalk SPELL</t>
  </si>
  <si>
    <t>Prolongation CHARM</t>
  </si>
  <si>
    <t>Untie CHARM</t>
  </si>
  <si>
    <t>Summon Mascot RITUAL</t>
  </si>
  <si>
    <t>Ritual of the Heart RITUAL</t>
  </si>
  <si>
    <t>Tangle/Untangle CANTRIP</t>
  </si>
  <si>
    <t>Slow Gravity CHARM</t>
  </si>
  <si>
    <t>Trigger Effect FORMULA</t>
  </si>
  <si>
    <t>Trudge CANTRIP</t>
  </si>
  <si>
    <t>Understanding of Ur SPELL</t>
  </si>
  <si>
    <t>Vranx‘s Annoying Itch CHARM</t>
  </si>
  <si>
    <t>Wickaflame CHARM</t>
  </si>
  <si>
    <t>Total</t>
  </si>
  <si>
    <t>Armor, Heka CANTRIP</t>
  </si>
  <si>
    <t>Armor, Full Persona Heka CANTRIP</t>
  </si>
  <si>
    <t>Aethereal Travel FORMULA</t>
  </si>
  <si>
    <t>Attractive Force CANTRIP</t>
  </si>
  <si>
    <t>Cloud of Magick SPELL</t>
  </si>
  <si>
    <t>Arcane Lore SPELL</t>
  </si>
  <si>
    <t>Barrier FORMULA</t>
  </si>
  <si>
    <t>Heka Bolt CHARM</t>
  </si>
  <si>
    <t>Disperse Heka Flow CANTRIP</t>
  </si>
  <si>
    <t>Bedlam CANTRIP</t>
  </si>
  <si>
    <t>Invisible Alert FORMULA</t>
  </si>
  <si>
    <t>Double Barrier SPELL</t>
  </si>
  <si>
    <t>Detect Heka Sources CANTRIP</t>
  </si>
  <si>
    <t>Invisible Chains CHARM</t>
  </si>
  <si>
    <t>Heka Blast CHARM</t>
  </si>
  <si>
    <t>Literate FORMULA</t>
  </si>
  <si>
    <t>Object Teleportation FORMULA</t>
  </si>
  <si>
    <t>Heka Shield SPELL</t>
  </si>
  <si>
    <t>Mask Heka SPELL</t>
  </si>
  <si>
    <t>Pythagoras Non-Dimension FORMULA</t>
  </si>
  <si>
    <t>Phase Shifting SPELL</t>
  </si>
  <si>
    <t>Parascopy SPELL</t>
  </si>
  <si>
    <t>Reverse Attack CHARM</t>
  </si>
  <si>
    <t>Pythagoras Extra-Dimensional Door SPELL</t>
  </si>
  <si>
    <t>Thought Message CHARM</t>
  </si>
  <si>
    <t>Weapon of Defense CHARM</t>
  </si>
  <si>
    <t>Quickcast of Inhetep CHARM</t>
  </si>
  <si>
    <t>Wound, Mental CHARM</t>
  </si>
  <si>
    <t>Sphere of Secrecy FORMULA</t>
  </si>
  <si>
    <t>Doublecast CHARM</t>
  </si>
  <si>
    <t>Aura of Spell Failure SPELL</t>
  </si>
  <si>
    <t>Create Portal RITUAL</t>
  </si>
  <si>
    <t>Escape Hatch CHARM</t>
  </si>
  <si>
    <t>Heka Beam CHARM</t>
  </si>
  <si>
    <t>Full Alert CANTRIP</t>
  </si>
  <si>
    <t>Forcewall CANTRIP</t>
  </si>
  <si>
    <t>Mask Heka Flow FORMULA</t>
  </si>
  <si>
    <t>Heka Absorb CANTRIP</t>
  </si>
  <si>
    <t>Heka Shell CANTRIP</t>
  </si>
  <si>
    <t>Merlins Tower RITUAL</t>
  </si>
  <si>
    <t>Heka Binding SPELL</t>
  </si>
  <si>
    <t>Juxtaposition CHARM</t>
  </si>
  <si>
    <t>Needed Things FORMULA</t>
  </si>
  <si>
    <t>Heka Redirection FORMULA</t>
  </si>
  <si>
    <t>Mind Mask CANTRIP</t>
  </si>
  <si>
    <t>Object Transformation FORMULA</t>
  </si>
  <si>
    <t>Magick Resistance SPELL</t>
  </si>
  <si>
    <t>Returning CHARM</t>
  </si>
  <si>
    <t>Pitfall CHARM</t>
  </si>
  <si>
    <t>Setnes Reverse Casting CANTRIP</t>
  </si>
  <si>
    <t>Scrambletongue CHARM</t>
  </si>
  <si>
    <t>Point of Joss CHARM</t>
  </si>
  <si>
    <t>Spirit Alert SPELL</t>
  </si>
  <si>
    <t>Poisonous CHARM</t>
  </si>
  <si>
    <t>Teleport CANTRIP</t>
  </si>
  <si>
    <t>Triple Barrier CANTRIP</t>
  </si>
  <si>
    <t>Dweomercraeft, Black Castings</t>
  </si>
  <si>
    <t>Acclumsed CANTRIP</t>
  </si>
  <si>
    <t>Ambush RITUAL</t>
  </si>
  <si>
    <t>Badfeelings CHARM</t>
  </si>
  <si>
    <t>Cause Discord CANTRIP</t>
  </si>
  <si>
    <t>Degrade CANTRIP</t>
  </si>
  <si>
    <t>Blindness CANTRIP</t>
  </si>
  <si>
    <t>Fright CHARM</t>
  </si>
  <si>
    <t>Fulldark CANTRIP</t>
  </si>
  <si>
    <t>Body Control SPELL</t>
  </si>
  <si>
    <t>Paralysis, Physical SPELL</t>
  </si>
  <si>
    <t>Humdrum Charm</t>
  </si>
  <si>
    <t>Malediction FORMULA</t>
  </si>
  <si>
    <t>Pox SPELL</t>
  </si>
  <si>
    <t>Pilfer CHARM</t>
  </si>
  <si>
    <t>Memory Drain SPELL</t>
  </si>
  <si>
    <t>Vertigo CANTRIP</t>
  </si>
  <si>
    <t>Ringer CHARM</t>
  </si>
  <si>
    <t>Weakness CANTRIP</t>
  </si>
  <si>
    <t>Treacherous Blow FORMULA</t>
  </si>
  <si>
    <t>Disfigure FORMULA</t>
  </si>
  <si>
    <t>Adderguards FORMULA</t>
  </si>
  <si>
    <t>Bane SPELL</t>
  </si>
  <si>
    <t>Field of Hysteria SPELL</t>
  </si>
  <si>
    <t>Badwill SPELL</t>
  </si>
  <si>
    <t>Blackwhips CHARM</t>
  </si>
  <si>
    <t>Missile Trap FORMULA</t>
  </si>
  <si>
    <t>Derange CHARM</t>
  </si>
  <si>
    <t>Mind Control CHARM</t>
  </si>
  <si>
    <t>Netherblight RITUAL</t>
  </si>
  <si>
    <t>Mind Numb CHARM</t>
  </si>
  <si>
    <t>Soulstone FORMULA</t>
  </si>
  <si>
    <t>Petrifying Gaze CANTRIP</t>
  </si>
  <si>
    <t>Paralysis, Mental CHARM</t>
  </si>
  <si>
    <t>Strength Drain SPELL</t>
  </si>
  <si>
    <t>Venomcloud CANTRIP</t>
  </si>
  <si>
    <t>Wound, Spiritual CHARM</t>
  </si>
  <si>
    <t>Willpower Drain SPELL</t>
  </si>
  <si>
    <t>Darkplague RITUAL</t>
  </si>
  <si>
    <t>Circe‘s Transformation SPELL</t>
  </si>
  <si>
    <t>Curse, Mundane SPELL</t>
  </si>
  <si>
    <t>Destruction RITUAL</t>
  </si>
  <si>
    <t>Death Hound FORMULA</t>
  </si>
  <si>
    <t>Death Magic RITUAL</t>
  </si>
  <si>
    <t>Ebonclaws CHARM</t>
  </si>
  <si>
    <t>False Witness SPELL</t>
  </si>
  <si>
    <t>Heka Drain FORMULA</t>
  </si>
  <si>
    <t>Evil Reflections SPELL</t>
  </si>
  <si>
    <t>Mind Transfer RITUAL</t>
  </si>
  <si>
    <t>Hex SPELL</t>
  </si>
  <si>
    <t>Lycanthropy RITUAL</t>
  </si>
  <si>
    <t>Wyrmform RITUAL</t>
  </si>
  <si>
    <t>Oppressive Ebon SPELL</t>
  </si>
  <si>
    <t>Ratpack CANTRIP</t>
  </si>
  <si>
    <t>Dweomercraeft, Elemental Castings</t>
  </si>
  <si>
    <t>Airbubbles CHARM</t>
  </si>
  <si>
    <t>Acidspray CANTRIP</t>
  </si>
  <si>
    <t>Absorb Element RITUAL</t>
  </si>
  <si>
    <t>Commune with Inanimate RITUAL</t>
  </si>
  <si>
    <t>AErth Lore SPELL</t>
  </si>
  <si>
    <t>Elemental Augury FORMULA</t>
  </si>
  <si>
    <t>Diffusion/Cohesion SPELL</t>
  </si>
  <si>
    <t>Alter Gravity SPELL</t>
  </si>
  <si>
    <t>Fireflash CANTRIP</t>
  </si>
  <si>
    <t>Elemental Shield FORMULA</t>
  </si>
  <si>
    <t>Aurora CANTRIP</t>
  </si>
  <si>
    <t>Icewall CANTRIP</t>
  </si>
  <si>
    <t>Fireknives CHARM</t>
  </si>
  <si>
    <t>Cold Ray CANTRIP</t>
  </si>
  <si>
    <t>Quagmire CANTRIP</t>
  </si>
  <si>
    <t>Frost SPELL</t>
  </si>
  <si>
    <t>Elemental Armor CANTRIP</t>
  </si>
  <si>
    <t>Stonebarrier SPELL</t>
  </si>
  <si>
    <t>Hotmetal FORMULA</t>
  </si>
  <si>
    <t>Elemental Force FORMULA</t>
  </si>
  <si>
    <t>Summon Elementary CANTRIP</t>
  </si>
  <si>
    <t>Icearrows CHARM</t>
  </si>
  <si>
    <t>Know Element CANTRIP</t>
  </si>
  <si>
    <t>Vaporization SPELL</t>
  </si>
  <si>
    <t>Slingstones CANTRIP</t>
  </si>
  <si>
    <t>Magnetic Field SPELL</t>
  </si>
  <si>
    <t>Windblast CHARM</t>
  </si>
  <si>
    <t>Thermology SPELL</t>
  </si>
  <si>
    <t>Waterspider FORMULA</t>
  </si>
  <si>
    <t>Zephyrgo CANTRIP</t>
  </si>
  <si>
    <t>Dissipate SPELL</t>
  </si>
  <si>
    <t>Elemental Missile CHARM</t>
  </si>
  <si>
    <t>Electrify CANTRIP</t>
  </si>
  <si>
    <t>Elemental Pathway SPELL</t>
  </si>
  <si>
    <t>Cagliostro‘s Sheet Lightning CANTRIP</t>
  </si>
  <si>
    <t>Elemental Hands CHARM</t>
  </si>
  <si>
    <t>Energy Transfer SPELL</t>
  </si>
  <si>
    <t>Elemental Storm SPELL</t>
  </si>
  <si>
    <t>Firebarrier CANTRIP</t>
  </si>
  <si>
    <t>Globelight CANTRIP</t>
  </si>
  <si>
    <t>Elemental Walk SPELL</t>
  </si>
  <si>
    <t>Fireflys SPELL</t>
  </si>
  <si>
    <t>Lavahome CANTRIP</t>
  </si>
  <si>
    <t>Lightningbugs CANTRIP</t>
  </si>
  <si>
    <t>Moletunnel FORMULA</t>
  </si>
  <si>
    <t>Quicklime SPELL</t>
  </si>
  <si>
    <t>Pass Through Stone SPELL</t>
  </si>
  <si>
    <t>Pyrokinesis CANTRIP</t>
  </si>
  <si>
    <t>Shockbolt CANTRIP</t>
  </si>
  <si>
    <t>Rings of Fire CHARM</t>
  </si>
  <si>
    <t>Shatter CANTRIP</t>
  </si>
  <si>
    <t>Solidification SPELL</t>
  </si>
  <si>
    <t>Summon Elemental Aid CANTRIP</t>
  </si>
  <si>
    <t>Thales‘ Elemental Cloak FORMULA</t>
  </si>
  <si>
    <t>Wizardwind SPELL</t>
  </si>
  <si>
    <t>Vortex SPELL</t>
  </si>
  <si>
    <t>Cloudkin CHARM</t>
  </si>
  <si>
    <t>Aristotle‘s Matter Alteration SPELL</t>
  </si>
  <si>
    <t>Deluge SPELL</t>
  </si>
  <si>
    <t>Energy Drain SPELL</t>
  </si>
  <si>
    <t>DePayne‘s Disintegration SPELL</t>
  </si>
  <si>
    <t>Elementalform FORMULA</t>
  </si>
  <si>
    <t>Repel Elemental Force CANTRIP</t>
  </si>
  <si>
    <t>Fallingstar SPELL</t>
  </si>
  <si>
    <t>Newton‘s Negative Gravity SPELL</t>
  </si>
  <si>
    <t>Scorpionfire CANTRIP</t>
  </si>
  <si>
    <t>Lightningwalk CANTRIP</t>
  </si>
  <si>
    <t>Pythagoras‘ Heka Diversion FORMULA</t>
  </si>
  <si>
    <t>Stoning SPELL</t>
  </si>
  <si>
    <t>Resist Disintegration CANTRIP</t>
  </si>
  <si>
    <t>Triton FORMULA</t>
  </si>
  <si>
    <t>Work Base Element RITUAL</t>
  </si>
  <si>
    <t>Dweomercraeft, Gray Castings</t>
  </si>
  <si>
    <t>Audial Trickery CHARM</t>
  </si>
  <si>
    <t>Blinding Flash CHARM</t>
  </si>
  <si>
    <t>Illusory Scene CHARM</t>
  </si>
  <si>
    <t>Bedazzling Lights CANTRIP</t>
  </si>
  <si>
    <t>Disguise FORMULA</t>
  </si>
  <si>
    <t>Imaginary Things RITUAL</t>
  </si>
  <si>
    <t>Dimlights SPELL</t>
  </si>
  <si>
    <t>Fleetingshadow CHARM</t>
  </si>
  <si>
    <t>Leave No Trail SPELL</t>
  </si>
  <si>
    <t>Distraction CHARM</t>
  </si>
  <si>
    <t>Intoxicating Gaze SPELL</t>
  </si>
  <si>
    <t>Mimic Physical SPELL</t>
  </si>
  <si>
    <t>Illusory Image CANTRIP</t>
  </si>
  <si>
    <t>Moonglow CANTRIP</t>
  </si>
  <si>
    <t>Moonbeams CHARM</t>
  </si>
  <si>
    <t>Penumbrate Armor FORMULA</t>
  </si>
  <si>
    <t>Shadowface SPELL</t>
  </si>
  <si>
    <t>Reveal Illusion SPELL</t>
  </si>
  <si>
    <t>Phantom Coachman CANTRIP</t>
  </si>
  <si>
    <t>Shadowscript CANTRIP</t>
  </si>
  <si>
    <t>Shadow Forms CANTRIP</t>
  </si>
  <si>
    <t>Shadowing CHARM</t>
  </si>
  <si>
    <t>Thickshadows CANTRIP</t>
  </si>
  <si>
    <t>Shadowboxer SPELL</t>
  </si>
  <si>
    <t>Sound Effects CANTRIP</t>
  </si>
  <si>
    <t>Tricks CHARM</t>
  </si>
  <si>
    <t>Sonic Blast CANTRIP</t>
  </si>
  <si>
    <t>Umbrage SPELL</t>
  </si>
  <si>
    <t>Well Tenebroused Blade SPELL</t>
  </si>
  <si>
    <t>Ventriloquistic Mastery SPELL</t>
  </si>
  <si>
    <t>Chameleon CANTRIP</t>
  </si>
  <si>
    <t>Erase Runes SPELL</t>
  </si>
  <si>
    <t>Doppleganger CANTRIP</t>
  </si>
  <si>
    <t>Duplicate Self CHARM</t>
  </si>
  <si>
    <t>Hallucination SPELL</t>
  </si>
  <si>
    <t>Miranda’s Magick Maze SPELL</t>
  </si>
  <si>
    <t>Illuminate Enemy CANTRIP</t>
  </si>
  <si>
    <t>Misdetection FORMULA</t>
  </si>
  <si>
    <t>Runic Symbol SPELL</t>
  </si>
  <si>
    <t>Palpable Shade FORMULA</t>
  </si>
  <si>
    <t>Phantasms CHARM</t>
  </si>
  <si>
    <t>Shadow Self FORMULA</t>
  </si>
  <si>
    <t>Perfect Mimicry SPELL</t>
  </si>
  <si>
    <t>Sensory Overload CANTRIP</t>
  </si>
  <si>
    <t>Shadow Warriors SPELL</t>
  </si>
  <si>
    <t>Shadowcloak CANTRIP</t>
  </si>
  <si>
    <t>Sleepshadows FORMULA</t>
  </si>
  <si>
    <t>Sonic Barrage CHARM</t>
  </si>
  <si>
    <t>Transparency FORMULA</t>
  </si>
  <si>
    <t>Bacon’s Invisibility CHARM</t>
  </si>
  <si>
    <t>Aura of Invisibility SPELL</t>
  </si>
  <si>
    <t>Joss Reversal RITUAL</t>
  </si>
  <si>
    <t>Louhi’s Shadowtouch CANTRIP</t>
  </si>
  <si>
    <t>Illusory Terrain SPELL</t>
  </si>
  <si>
    <t>Mass Invisibility CHARM</t>
  </si>
  <si>
    <t>Negative Illusion SPELL</t>
  </si>
  <si>
    <t>Pale Shadow RITUAL</t>
  </si>
  <si>
    <t>Plato’s Grandeception RITUAL</t>
  </si>
  <si>
    <t>Physical Illusion SPELL</t>
  </si>
  <si>
    <t>Planar Barriers CANTRIP</t>
  </si>
  <si>
    <t>Shadowplate CANTRIP</t>
  </si>
  <si>
    <t>Reflective Circle CHARM</t>
  </si>
  <si>
    <t>Shadow Weaving FORMULA</t>
  </si>
  <si>
    <t>Socrate’s Instant Illusion FORMULA</t>
  </si>
  <si>
    <t>Tenebrous Assassin RITUAL</t>
  </si>
  <si>
    <t>Shadowdoors CHARM</t>
  </si>
  <si>
    <t>Dweomercraeft, Green Castings</t>
  </si>
  <si>
    <t>Animal Mimicry CANTRIP</t>
  </si>
  <si>
    <t>Animal Service SPELL</t>
  </si>
  <si>
    <t>Call Breezes SPELL</t>
  </si>
  <si>
    <t>Birdflock CHARM</t>
  </si>
  <si>
    <t>Beeline CHARM</t>
  </si>
  <si>
    <t>Fogsight CANTRIP</t>
  </si>
  <si>
    <t>Call Fog SPELL</t>
  </si>
  <si>
    <t>Blending CANTRIP</t>
  </si>
  <si>
    <t>Locate Fauna SPELL</t>
  </si>
  <si>
    <t>Finneyscale SPELL</t>
  </si>
  <si>
    <t>Spiderscreeping CHARM:</t>
  </si>
  <si>
    <t>Elements Shield FORMULA</t>
  </si>
  <si>
    <t>Hornet�s Nest CHARM</t>
  </si>
  <si>
    <t>Tanglebriars CANTRIP</t>
  </si>
  <si>
    <t>Environmeld SPELL</t>
  </si>
  <si>
    <t>Protection from Animals CANTRIP</t>
  </si>
  <si>
    <t>Wolf-stag FORMULA</t>
  </si>
  <si>
    <t>Locate Flora SPELL</t>
  </si>
  <si>
    <t>Sense Weather Magick SPELL</t>
  </si>
  <si>
    <t>Protection from Insects CANTRIP</t>
  </si>
  <si>
    <t>Spiderfly FORMULA</t>
  </si>
  <si>
    <t>Protection from Plants CANTRIP</t>
  </si>
  <si>
    <t>Stillness SPELL</t>
  </si>
  <si>
    <t>Sense Weather Change FORMULA</t>
  </si>
  <si>
    <t>Temperature Shift SPELL</t>
  </si>
  <si>
    <t>Thornspear CANTRIP</t>
  </si>
  <si>
    <t>Weathercast SPELL</t>
  </si>
  <si>
    <t>Animalfriends FORMULA</t>
  </si>
  <si>
    <t>Adaptation SPELL</t>
  </si>
  <si>
    <t>Call Up Nature Spirits RITUAL</t>
  </si>
  <si>
    <t>Call Rainstorm SPELL</t>
  </si>
  <si>
    <t>Predators CHARM</t>
  </si>
  <si>
    <t>Fungirot CANTRIP</t>
  </si>
  <si>
    <t>Fauna Telempathy CANTRIP</t>
  </si>
  <si>
    <t>Prospero�s Full Storm SPELL</t>
  </si>
  <si>
    <t>Hiddenpassage CHARM</t>
  </si>
  <si>
    <t>Hawk-owl FORMULA</t>
  </si>
  <si>
    <t>Treemeld CHARM</t>
  </si>
  <si>
    <t>Plant Telempathy FORMULA</t>
  </si>
  <si>
    <t>Poisongrowths SPELL</t>
  </si>
  <si>
    <t>Venomvine CANTRIP</t>
  </si>
  <si>
    <t>Snares, Pits and Deadfalls SPELL</t>
  </si>
  <si>
    <t>Slithernear CHARM</t>
  </si>
  <si>
    <t>Weatherlord FORMULA</t>
  </si>
  <si>
    <t>Swancloak FORMULA</t>
  </si>
  <si>
    <t>Barefeet CANTRIP</t>
  </si>
  <si>
    <t>Aging/Ageless FORMULA</t>
  </si>
  <si>
    <t>Phaereedoor FORMULA</t>
  </si>
  <si>
    <t>Direct Lightning CHARM</t>
  </si>
  <si>
    <t>Hostileland RITUAL</t>
  </si>
  <si>
    <t>Plagueswarm SPELL</t>
  </si>
  <si>
    <t>Hostilefauna RITUAL</t>
  </si>
  <si>
    <t>Isolation by Weather FORMULA</t>
  </si>
  <si>
    <t>Rejuvenate RITUAL</t>
  </si>
  <si>
    <t>Tentacleroots CANTRIP</t>
  </si>
  <si>
    <t>Naturemedy CHARM</t>
  </si>
  <si>
    <t>Riotgrow CHARM</t>
  </si>
  <si>
    <t>Thunderclap CHARM</t>
  </si>
  <si>
    <t>Onenature Revenge SPELL</t>
  </si>
  <si>
    <t>Vegitate CHARM</t>
  </si>
  <si>
    <t>Treedoors CHARM</t>
  </si>
  <si>
    <t>Dweomercraeft, White Castings</t>
  </si>
  <si>
    <t>Aid CHARM</t>
  </si>
  <si>
    <t>Convey CANTRIP</t>
  </si>
  <si>
    <t>Clearsight CHARM</t>
  </si>
  <si>
    <t>Balm FORMULA</t>
  </si>
  <si>
    <t>Daylight CANTRIP</t>
  </si>
  <si>
    <t>Dispel Evils SPELL</t>
  </si>
  <si>
    <t>Comfort SPELL</t>
  </si>
  <si>
    <t>Fortitude FORMULA</t>
  </si>
  <si>
    <t>Intensification CANTRIP</t>
  </si>
  <si>
    <t>Comprehend CANTRIP</t>
  </si>
  <si>
    <t>Helping Hand CHARM</t>
  </si>
  <si>
    <t>Lift Fear CANTRIP</t>
  </si>
  <si>
    <t>Endurance: FORMULA</t>
  </si>
  <si>
    <t>Hospice RITUAL</t>
  </si>
  <si>
    <t>Parakinesis CANTRIP</t>
  </si>
  <si>
    <t>Firesglow CHARM</t>
  </si>
  <si>
    <t>Purify SPELL</t>
  </si>
  <si>
    <t>Skywalk CHARM</t>
  </si>
  <si>
    <t>Harmony SPELL</t>
  </si>
  <si>
    <t>Repair SPELL</t>
  </si>
  <si>
    <t>Sunbeam CHARM</t>
  </si>
  <si>
    <t>Magickal Marker CHARM</t>
  </si>
  <si>
    <t>Silver Spears CHARM</t>
  </si>
  <si>
    <t>Sustenance FORMULA</t>
  </si>
  <si>
    <t>Pleasant Dreams FORMULA</t>
  </si>
  <si>
    <t>Strength CANTRIP</t>
  </si>
  <si>
    <t>Telempathise SPELL</t>
  </si>
  <si>
    <t>Preservation SPELL</t>
  </si>
  <si>
    <t>Tutelage FORMULA</t>
  </si>
  <si>
    <t>Truespeak FORMULA</t>
  </si>
  <si>
    <t>Circle of Accord SPELL</t>
  </si>
  <si>
    <t>Astral Eyes CANTRIP</t>
  </si>
  <si>
    <t>Heka Giving FORMULA</t>
  </si>
  <si>
    <t>Communicate SPELL</t>
  </si>
  <si>
    <t>Auspices SPELL</t>
  </si>
  <si>
    <t>Inner Beauty CANTRIP</t>
  </si>
  <si>
    <t>Memory Restoration FORMULA</t>
  </si>
  <si>
    <t>Beastame CHARM</t>
  </si>
  <si>
    <t>Lightspectrm CHARM</t>
  </si>
  <si>
    <t>Possess Knowledge/Skill RITUAL</t>
  </si>
  <si>
    <t>Lift Curse FORMULA</t>
  </si>
  <si>
    <t>Positive Heka SPELL</t>
  </si>
  <si>
    <t>Reverse Petrifaction RITUAL</t>
  </si>
  <si>
    <t>Psychokinesis CANTRIP</t>
  </si>
  <si>
    <t>Soaring Intellect SPELL</t>
  </si>
  <si>
    <t>Zoroaster‘s Noonsblaze CANTRIP</t>
  </si>
  <si>
    <t>Sphere of Influence CANTRIP</t>
  </si>
  <si>
    <t>Suneagle CHARM</t>
  </si>
  <si>
    <t>Celestial Chime CHARM</t>
  </si>
  <si>
    <t>Expanded Spectrum CANTRIP</t>
  </si>
  <si>
    <t>Celestial Chorus SPELL</t>
  </si>
  <si>
    <t>Galileo‘s Sphereshuffle FORMULA</t>
  </si>
  <si>
    <t>Egar‘s Sixth Sense CHARM</t>
  </si>
  <si>
    <t>da Vinci‘s Temporary Portal FORMULA</t>
  </si>
  <si>
    <t>Good Fortune CHARM</t>
  </si>
  <si>
    <t>Destroy Evil Spirit RITUAL</t>
  </si>
  <si>
    <t>Mass Telepathic Command SPELL</t>
  </si>
  <si>
    <t>Planar Walk FORMULA</t>
  </si>
  <si>
    <t>Empyreal Guards SPELL</t>
  </si>
  <si>
    <t>Stasis FORMULA</t>
  </si>
  <si>
    <t>Vanish CHARM</t>
  </si>
  <si>
    <t>Reduplication FORMULA</t>
  </si>
  <si>
    <t>Telepathy CHARM</t>
  </si>
  <si>
    <t>Vox Populi CANTRIP</t>
  </si>
  <si>
    <t>Priestcraeft, General Tutelary Castings</t>
  </si>
  <si>
    <t>Rites RITUAL</t>
  </si>
  <si>
    <t>"Blessing, Minor, SPELL"</t>
  </si>
  <si>
    <t>Consecration FORMULA</t>
  </si>
  <si>
    <t>"Blessing, Major, RITUAL"</t>
  </si>
  <si>
    <t>Guidance SPELL</t>
  </si>
  <si>
    <t>Excommunication RITUAL</t>
  </si>
  <si>
    <t>Enter Sanctum FORMULA</t>
  </si>
  <si>
    <t>Anathema RITUAL</t>
  </si>
  <si>
    <t>Enter Realm SPELL</t>
  </si>
  <si>
    <t>Priestcraeft, Basic Tutelary Castings</t>
  </si>
  <si>
    <t>Alms CANTRIP</t>
  </si>
  <si>
    <t>Draw Heka FORMULA</t>
  </si>
  <si>
    <t>Bounds of Action CHARM</t>
  </si>
  <si>
    <t>Awe CHARM</t>
  </si>
  <si>
    <t>Heal Mental Damage RITUAL</t>
  </si>
  <si>
    <t>Enhance Spiritual Power FORMULA</t>
  </si>
  <si>
    <t>Influence FORMULA</t>
  </si>
  <si>
    <t>Healing, Minor FORMULA</t>
  </si>
  <si>
    <t>Enlightenment RITUAL</t>
  </si>
  <si>
    <t>Lightsee CHARM</t>
  </si>
  <si>
    <t>Meditate SPELL</t>
  </si>
  <si>
    <t>Heka Defenses CANTRIP</t>
  </si>
  <si>
    <t>Phosphor SPELL</t>
  </si>
  <si>
    <t>Rightcourse CANTRIP</t>
  </si>
  <si>
    <t>Resist Paralysis SPELL</t>
  </si>
  <si>
    <t>Prayer CANTRIP</t>
  </si>
  <si>
    <t>Smiting CHARM</t>
  </si>
  <si>
    <t>Produce Meal RITUAL</t>
  </si>
  <si>
    <t>Pronouncement SPELL</t>
  </si>
  <si>
    <t>Resist Physical Harm CANTRIP</t>
  </si>
  <si>
    <t>Smokecloud FORMULA</t>
  </si>
  <si>
    <t>Forcestaff CHARM</t>
  </si>
  <si>
    <t>Heal The Soul SPELL</t>
  </si>
  <si>
    <t>Entital Guidance RITUAL</t>
  </si>
  <si>
    <t>Protection From Lightnings SPELL</t>
  </si>
  <si>
    <t>Healing, Major CANTRIP</t>
  </si>
  <si>
    <t>Iron Will CANTRIP</t>
  </si>
  <si>
    <t>Holy Terror CANTRIP</t>
  </si>
  <si>
    <t>Sanctum RITUAL</t>
  </si>
  <si>
    <t>Thunderbolt CANTRIP</t>
  </si>
  <si>
    <t>Symbol Of Entital Power SPELL</t>
  </si>
  <si>
    <t>Word of Command CHARM</t>
  </si>
  <si>
    <t>Minor Miracle RITUAL</t>
  </si>
  <si>
    <t>Entital Aid RITUAL</t>
  </si>
  <si>
    <t>Intervention RITUAL</t>
  </si>
  <si>
    <t>Questing SPELL</t>
  </si>
  <si>
    <t>Retribution FORMULA</t>
  </si>
  <si>
    <t>Miracle SPELL</t>
  </si>
  <si>
    <t>Return to Sanctum CHARM</t>
  </si>
  <si>
    <t>Total Recall SPELL</t>
  </si>
  <si>
    <t>Willpower CANTRIP</t>
  </si>
  <si>
    <t>Priestcraeft, Balance Castings</t>
  </si>
  <si>
    <t>Burlyone CHARM</t>
  </si>
  <si>
    <t>Contemplation RITUAL</t>
  </si>
  <si>
    <t>Circle of Equity SPELL</t>
  </si>
  <si>
    <t>Contingency FORMULA</t>
  </si>
  <si>
    <t>Drain Water FORMULA</t>
  </si>
  <si>
    <t>Edster’s Improved Average CHARM</t>
  </si>
  <si>
    <t>Detect Life CHARM</t>
  </si>
  <si>
    <t>Edster's Average CHARM</t>
  </si>
  <si>
    <t>Focal Point CHARM</t>
  </si>
  <si>
    <t>Discourse CANTRIP</t>
  </si>
  <si>
    <t>Enhance Aura SPELL</t>
  </si>
  <si>
    <t>Mask Life CANTRIP</t>
  </si>
  <si>
    <t>Rapport FORMULA</t>
  </si>
  <si>
    <t>Protection from the Elements CHARM</t>
  </si>
  <si>
    <t>Return Karma SPELL:</t>
  </si>
  <si>
    <t>Response CANTRIP</t>
  </si>
  <si>
    <t>Aural Reflection SPELL</t>
  </si>
  <si>
    <t>Directed Consciousness SPELL</t>
  </si>
  <si>
    <t>Balance of Power CANTRIP</t>
  </si>
  <si>
    <t>Meliorate CANTRIP</t>
  </si>
  <si>
    <t>Enhance Purpose SPELL</t>
  </si>
  <si>
    <t>Che Alignment FORMULA</t>
  </si>
  <si>
    <t>Sanctuary of the Scales RITUAL</t>
  </si>
  <si>
    <t>Rebuttal CHARM</t>
  </si>
  <si>
    <t>Dual Consciousness SPELL</t>
  </si>
  <si>
    <t>Sphere of Confusion CANTRIP</t>
  </si>
  <si>
    <t>Wind of Change CANTRIP</t>
  </si>
  <si>
    <t>Word of Dazing CHARM</t>
  </si>
  <si>
    <t>Elementary Opposition CANTRIP</t>
  </si>
  <si>
    <t>No Time FORMULA</t>
  </si>
  <si>
    <t>Aerthquake RITUAL</t>
  </si>
  <si>
    <t>Light of Truth RITUAL</t>
  </si>
  <si>
    <t>Return Service SPELL</t>
  </si>
  <si>
    <t>Soul Search SPELL</t>
  </si>
  <si>
    <t>Ritual of the Scales RITUAL</t>
  </si>
  <si>
    <t>Scales of Time FORMULA</t>
  </si>
  <si>
    <t>Telling Point CANTRIP</t>
  </si>
  <si>
    <t>Swinging Door FORMULA</t>
  </si>
  <si>
    <t>Priestcraeft, Gloomy Darkness Castings</t>
  </si>
  <si>
    <t>Gloomy SPELL</t>
  </si>
  <si>
    <t>Aura of deception FORMULA</t>
  </si>
  <si>
    <t>Circle of luridarkness SPELL</t>
  </si>
  <si>
    <t>Petrify FORMULA</t>
  </si>
  <si>
    <t>Ficklefait CHARM</t>
  </si>
  <si>
    <t>Palable gloom CANTRIP</t>
  </si>
  <si>
    <t>Spider on the wall RITUAL</t>
  </si>
  <si>
    <t>Serpentstaff CHARM</t>
  </si>
  <si>
    <t>Stenchcloud FORMULA</t>
  </si>
  <si>
    <t>Venomtouch SPELL</t>
  </si>
  <si>
    <t>Webs of fear SPELL</t>
  </si>
  <si>
    <t>Violence CANTRIP</t>
  </si>
  <si>
    <t>Brittlebreak SPELL</t>
  </si>
  <si>
    <t>Malaise SPELL</t>
  </si>
  <si>
    <t>Confuse direction CHARM</t>
  </si>
  <si>
    <t>Heart of darkness RITUAL</t>
  </si>
  <si>
    <t>Viperune FORMULA</t>
  </si>
  <si>
    <t>Gloomcloak CANTRIP</t>
  </si>
  <si>
    <t>Taunting FORMULA</t>
  </si>
  <si>
    <t>webs of Madness CANTRIP</t>
  </si>
  <si>
    <t>Willpower Drain CHARM</t>
  </si>
  <si>
    <t>Webs of constriction CANTRIP</t>
  </si>
  <si>
    <t>Withering CANTRIP</t>
  </si>
  <si>
    <t>Gloomcioud CANTRIP</t>
  </si>
  <si>
    <t>Deathgrip CHARM</t>
  </si>
  <si>
    <t>Psychic agony CHARM</t>
  </si>
  <si>
    <t>Monstrosity SPELL</t>
  </si>
  <si>
    <t>Goblingate SPELL</t>
  </si>
  <si>
    <t>Summon evil RITUAL</t>
  </si>
  <si>
    <t>Unholy word CHARM</t>
  </si>
  <si>
    <t>Subversion CHARM</t>
  </si>
  <si>
    <t>Webs of Death SPELL</t>
  </si>
  <si>
    <t>Webs of pain CANTRIP</t>
  </si>
  <si>
    <t>Priestcraeft, Moonlight Castings</t>
  </si>
  <si>
    <t>Abundant game RITUAL</t>
  </si>
  <si>
    <t>Blursight CANTRIP</t>
  </si>
  <si>
    <t>Animal Hypnosis CHARM</t>
  </si>
  <si>
    <t>Annoyance CANTRIP</t>
  </si>
  <si>
    <t>Enlarge plant FORMULA</t>
  </si>
  <si>
    <t>Circle of moonbeams SPELL</t>
  </si>
  <si>
    <t>Bigbug SPELL</t>
  </si>
  <si>
    <t>Mists of silence SPELL</t>
  </si>
  <si>
    <t>Display Aura CANTRIP</t>
  </si>
  <si>
    <t>Goodhunt FORMULA</t>
  </si>
  <si>
    <t>Odorlessness SPELL</t>
  </si>
  <si>
    <t>Enlarge animal FORMULA</t>
  </si>
  <si>
    <t>Growstaf RITUAL</t>
  </si>
  <si>
    <t>Stardust SPELL</t>
  </si>
  <si>
    <t>Lift charm FORMULA</t>
  </si>
  <si>
    <t>Magickal Cudgel CHARM</t>
  </si>
  <si>
    <t>Summon help RITUAL</t>
  </si>
  <si>
    <t>Mist &amp; rain SPELL</t>
  </si>
  <si>
    <t>Night Vision CANTRIP</t>
  </si>
  <si>
    <t>Owlears CANTRIP</t>
  </si>
  <si>
    <t>Slumber CANTRIP</t>
  </si>
  <si>
    <t>Snarevine SPELL</t>
  </si>
  <si>
    <t>Whisper CHARM</t>
  </si>
  <si>
    <t>Call swarm FORMULA</t>
  </si>
  <si>
    <t>Displacement CANTRIP</t>
  </si>
  <si>
    <t>Animal paralysis CANTRIP</t>
  </si>
  <si>
    <t>Confidence CANTRIP</t>
  </si>
  <si>
    <t>Florapass FORMULA</t>
  </si>
  <si>
    <t>Contrainfluence CHARM</t>
  </si>
  <si>
    <t>Fix deadfalls FORMULA</t>
  </si>
  <si>
    <t>Ghostly structure CHARM</t>
  </si>
  <si>
    <t>Erthmother FORMULA</t>
  </si>
  <si>
    <t>Light of the silvery moon RITUAL</t>
  </si>
  <si>
    <t>Floraform CHARM</t>
  </si>
  <si>
    <t>Repel CHARM</t>
  </si>
  <si>
    <t>Mists of sleep CANTRIP</t>
  </si>
  <si>
    <t>Stonegulse SPELL</t>
  </si>
  <si>
    <t>Monstrous speech CANTRIP</t>
  </si>
  <si>
    <t>Will over matter RITUAL</t>
  </si>
  <si>
    <t>Faerie ring FORMULA</t>
  </si>
  <si>
    <t>Banshee wind CANTRIP</t>
  </si>
  <si>
    <t>Mists of delusion CANTRIP</t>
  </si>
  <si>
    <t>Grasping plants SPELL</t>
  </si>
  <si>
    <t>Spiritprism CANTRIP</t>
  </si>
  <si>
    <t>Plant paralysis SPELL</t>
  </si>
  <si>
    <t>Restore free will FORMULA</t>
  </si>
  <si>
    <t>Stormseye RITUAL</t>
  </si>
  <si>
    <t>Priestcraeft, Shadowy Darkness Castings</t>
  </si>
  <si>
    <t>Changescript CHARM</t>
  </si>
  <si>
    <t>Depression CANTRIP</t>
  </si>
  <si>
    <t>Circle of shadows SPELL</t>
  </si>
  <si>
    <t>Falsetrap CANTRIP</t>
  </si>
  <si>
    <t>Deteriorate CANTRIP</t>
  </si>
  <si>
    <t>cloud sense CANTRIP</t>
  </si>
  <si>
    <t>Illusory alchemy FORMULA</t>
  </si>
  <si>
    <t>Hide aura SPELL</t>
  </si>
  <si>
    <t>Flitting shadows CANTRIP</t>
  </si>
  <si>
    <t>Penumbra SPELL</t>
  </si>
  <si>
    <t>Hinder SPELL</t>
  </si>
  <si>
    <t>Hilarity SPELL</t>
  </si>
  <si>
    <t>Shadow armor CANTRIP</t>
  </si>
  <si>
    <t>Penumbrate points CHARM</t>
  </si>
  <si>
    <t>Illusory surface FORMULA</t>
  </si>
  <si>
    <t>Thicken Shadows CANTRIP</t>
  </si>
  <si>
    <t>Shadow darts CHARM</t>
  </si>
  <si>
    <t>Fold of shadow RITUAL</t>
  </si>
  <si>
    <t>Cloud all senses SPELL</t>
  </si>
  <si>
    <t>Hideyhole SPELL</t>
  </si>
  <si>
    <t>Haze of entrapmnet CANTRIP</t>
  </si>
  <si>
    <t>Demoralize CHARM</t>
  </si>
  <si>
    <t>Penumbrate palace SPELL</t>
  </si>
  <si>
    <t>Mind reading SPELL</t>
  </si>
  <si>
    <t>Shadow casting CANTRIP</t>
  </si>
  <si>
    <t>shadow steed CANTRIP</t>
  </si>
  <si>
    <t>Shadow shield CHARM</t>
  </si>
  <si>
    <t>Underhill RITUAL</t>
  </si>
  <si>
    <t>shadow walking FORMULA</t>
  </si>
  <si>
    <t>shadowarm CHARM</t>
  </si>
  <si>
    <t>Umbrate servant FORMULA</t>
  </si>
  <si>
    <t>Glamorous CHARM</t>
  </si>
  <si>
    <t>Feed on shadows SPELL</t>
  </si>
  <si>
    <t>Haze of the benighted SPELL</t>
  </si>
  <si>
    <t>Haze of Agony CANTRIP</t>
  </si>
  <si>
    <t>Umbrate wind CANTRIP</t>
  </si>
  <si>
    <t>Savage-Faced messengers RITUAL</t>
  </si>
  <si>
    <t>Spiritual submission CANTRIP</t>
  </si>
  <si>
    <t>Visual screen CHARM</t>
  </si>
  <si>
    <t>Shades of probability FORMULA</t>
  </si>
  <si>
    <t>Underworld FORMULA</t>
  </si>
  <si>
    <t>Priestcraeft, Sunlight Castings</t>
  </si>
  <si>
    <t>Alleviation RITUAL</t>
  </si>
  <si>
    <t>Circle of entital Protection SPELL</t>
  </si>
  <si>
    <t>Antidote CHARM</t>
  </si>
  <si>
    <t>Discover bane CANTRIP</t>
  </si>
  <si>
    <t>Clear Direction CANTRIP</t>
  </si>
  <si>
    <t>Combust CANTRIP</t>
  </si>
  <si>
    <t>Lightstaff FORMULA</t>
  </si>
  <si>
    <t>Cure phobia FORMULA</t>
  </si>
  <si>
    <t>Divine Light CANTRIP</t>
  </si>
  <si>
    <t>Remove Pain SPELL</t>
  </si>
  <si>
    <t>Positive corona SPELL</t>
  </si>
  <si>
    <t>Shelter RITUAL</t>
  </si>
  <si>
    <t>Protection From netherforces CHARM</t>
  </si>
  <si>
    <t>Feathersteel SPELL</t>
  </si>
  <si>
    <t>Warmbreeze CHARM</t>
  </si>
  <si>
    <t>Ripecrp RITUAL</t>
  </si>
  <si>
    <t>Magick pane FORMULA</t>
  </si>
  <si>
    <t>Aerial chariot CHARM</t>
  </si>
  <si>
    <t>Atone RITUAL</t>
  </si>
  <si>
    <t>Cure Disease CANTRIP</t>
  </si>
  <si>
    <t>Cure insanity SPELL</t>
  </si>
  <si>
    <t>Clearskies FORMULA</t>
  </si>
  <si>
    <t>Hauberk of dedication SPELL</t>
  </si>
  <si>
    <t>Hawkeyes CHARM</t>
  </si>
  <si>
    <t>Light of understanding SPELL</t>
  </si>
  <si>
    <t>Know K/S FORMULA</t>
  </si>
  <si>
    <t>Helm of conviction FORMULA</t>
  </si>
  <si>
    <t>Rainbow Spectrum CHARM</t>
  </si>
  <si>
    <t>Light of peace SPELL</t>
  </si>
  <si>
    <t>Pillar of faith RITUAL</t>
  </si>
  <si>
    <t>Sundog CHARM</t>
  </si>
  <si>
    <t>Restore purpose FORMULA</t>
  </si>
  <si>
    <t>Remove Blindness CANTRIP</t>
  </si>
  <si>
    <t>Sunray CANTRIP</t>
  </si>
  <si>
    <t>Faygrace CANTRIP</t>
  </si>
  <si>
    <t>Remove madness RITUAL</t>
  </si>
  <si>
    <t>Astral Journeying SPELL</t>
  </si>
  <si>
    <t>Netherslay CHARM</t>
  </si>
  <si>
    <t>Stillalive SPELL</t>
  </si>
  <si>
    <t>Heal CHARM</t>
  </si>
  <si>
    <t>Psychic Balm SPELL</t>
  </si>
  <si>
    <t>Sunstroke FORMULA</t>
  </si>
  <si>
    <t>Regeneration FORMULA</t>
  </si>
  <si>
    <t>Wind of hope CANTRIP</t>
  </si>
  <si>
    <t>Light of the avater SPELL</t>
  </si>
  <si>
    <t>Summon good RITUAL</t>
  </si>
  <si>
    <t>Restoration RITUAL</t>
  </si>
  <si>
    <t>Wyrd FORMULA</t>
  </si>
  <si>
    <t>Alchemy Castings</t>
  </si>
  <si>
    <t>Alter Complexion SPELL</t>
  </si>
  <si>
    <t>Acid Jet CANTRIP</t>
  </si>
  <si>
    <t>Alkaline Shower CANTRIP</t>
  </si>
  <si>
    <t>Buoyancy Potion FORMULA</t>
  </si>
  <si>
    <t>Alter Hair Properties SPELL</t>
  </si>
  <si>
    <t>Alter Skin SPELL</t>
  </si>
  <si>
    <t>Dalthor's Sticky Surface CANTRIP</t>
  </si>
  <si>
    <t>Brand's Glowing Sphere CHARM</t>
  </si>
  <si>
    <t>Decipher Writing CHARM</t>
  </si>
  <si>
    <t>Charnoks Corpse Golem FORMULA</t>
  </si>
  <si>
    <t>Fae Breeze Potion FORMULA</t>
  </si>
  <si>
    <t>Endure Elements Potion FORMULA</t>
  </si>
  <si>
    <t>Decryption SPELL</t>
  </si>
  <si>
    <t>Flashbang FORMULA</t>
  </si>
  <si>
    <t>Heka Reading CANTRIP</t>
  </si>
  <si>
    <t>Feather Step Potion FORMULA</t>
  </si>
  <si>
    <t>Homunculus RITUAL</t>
  </si>
  <si>
    <t>Know Chemical SPELL</t>
  </si>
  <si>
    <t>Know Chemical Compound SPELL</t>
  </si>
  <si>
    <t>Identify Potion SPELL</t>
  </si>
  <si>
    <t>Lightning Rod CHARM</t>
  </si>
  <si>
    <t>Question Elemental FORMULA</t>
  </si>
  <si>
    <t>Potion of Faith I FORMULA</t>
  </si>
  <si>
    <t>Reveal Invisible Writing CANTRIP</t>
  </si>
  <si>
    <t>Potion of Inspiration I FORMULA</t>
  </si>
  <si>
    <t>Rope Homunculus FORMULA</t>
  </si>
  <si>
    <t>Potion of Spiderwalk FORMULA</t>
  </si>
  <si>
    <t>Potion of Strength I FORMULA</t>
  </si>
  <si>
    <t>Weapon Oil - Iron FORMULA</t>
  </si>
  <si>
    <t>Summon Elementary RITUAL</t>
  </si>
  <si>
    <t>Weapon Oil - Silver FORMULA</t>
  </si>
  <si>
    <t>Alter Eyes CHARM</t>
  </si>
  <si>
    <t>Alter Facial Features FORMULA</t>
  </si>
  <si>
    <t>Alchemical Fireball FORMULA</t>
  </si>
  <si>
    <t>Dark Whispers Serum FORMULA</t>
  </si>
  <si>
    <t>Clay Golem RITUAL</t>
  </si>
  <si>
    <t>Fludd‘s Fire SPELL</t>
  </si>
  <si>
    <t>Braccescos Artificial Elemental RITUAL</t>
  </si>
  <si>
    <t>Control Elementary FORMULA</t>
  </si>
  <si>
    <t>Conductivity SPELL</t>
  </si>
  <si>
    <t>Elixir of False Health FORMULA</t>
  </si>
  <si>
    <t>Know Alchemical Work SPELL</t>
  </si>
  <si>
    <t>Heka Binding RITUAL</t>
  </si>
  <si>
    <t>Non-Conductivity CANTRIP</t>
  </si>
  <si>
    <t>Ironwood SPELL</t>
  </si>
  <si>
    <t>Oil of Slipperiness FORMULA</t>
  </si>
  <si>
    <t>Elixir of Dragon‘s Blood FORMULA</t>
  </si>
  <si>
    <t>Grasshopper Oil FORMULA</t>
  </si>
  <si>
    <t>Poison Gas FORMULA</t>
  </si>
  <si>
    <t>Sleep Gas FORMULA</t>
  </si>
  <si>
    <t>Invisibility CANTRIP</t>
  </si>
  <si>
    <t>Potion of Fire Breath FORMULA</t>
  </si>
  <si>
    <t>Leather Golem RITUAL</t>
  </si>
  <si>
    <t>Reduce Heka Flow CANTRIP</t>
  </si>
  <si>
    <t>Wateracid SPELL</t>
  </si>
  <si>
    <t>Metalgrow FORMULA</t>
  </si>
  <si>
    <t>Weapon Oil - Hekalite FORMULA</t>
  </si>
  <si>
    <t>Wood Golem RITUAL</t>
  </si>
  <si>
    <t>Oil of Sharpness FORMULA</t>
  </si>
  <si>
    <t>Paralyzation Gas FORMULA</t>
  </si>
  <si>
    <t>Potion of Faith II FORMULA</t>
  </si>
  <si>
    <t>Potion of Inspiration II FORMULA</t>
  </si>
  <si>
    <t>Potion of Strength II FORMULA</t>
  </si>
  <si>
    <t>Alcahest FORMULA</t>
  </si>
  <si>
    <t>Alfabris Eldritch Fire CANTRIP</t>
  </si>
  <si>
    <t>da Vinci‘s Reverse Motion CHARM</t>
  </si>
  <si>
    <t>Amaranth Nectar FORMULA</t>
  </si>
  <si>
    <t>Draught of Dragons Tears FORMULA</t>
  </si>
  <si>
    <t>Enchantment RITUAL</t>
  </si>
  <si>
    <t>Change Heka Energy CHARM</t>
  </si>
  <si>
    <t>Metal Golem RITUAL</t>
  </si>
  <si>
    <t>Psychic Elixir FORMULA</t>
  </si>
  <si>
    <t>Control Elemental RITUAL</t>
  </si>
  <si>
    <t>Potion of Faith III FORMULA</t>
  </si>
  <si>
    <t>Remove Years RITUAL</t>
  </si>
  <si>
    <t>Potion of Inspiration III FORMULA</t>
  </si>
  <si>
    <t>Simulacrum of Parcelus RITUAL</t>
  </si>
  <si>
    <t>Full Armor Elixir FORMULA</t>
  </si>
  <si>
    <t>Potion of Strength III FORMULA</t>
  </si>
  <si>
    <t>Ghost Essence Potion FORMULA</t>
  </si>
  <si>
    <t>Reverse Result CANTRIP</t>
  </si>
  <si>
    <t>Tau Bomb FORMULA</t>
  </si>
  <si>
    <t>Increase Lifespan RITUAL</t>
  </si>
  <si>
    <t>Troll Blood Elixir FORMULA</t>
  </si>
  <si>
    <t>Stone Golem RITUAL</t>
  </si>
  <si>
    <t>Serum of Gender Reversal FORMULA</t>
  </si>
  <si>
    <t>Work Tau RITUAL</t>
  </si>
  <si>
    <t>Apotropaism Castings</t>
  </si>
  <si>
    <t>Alchindus sigil FORMULA</t>
  </si>
  <si>
    <t>Abram's Safekeep FORMULA</t>
  </si>
  <si>
    <t>Harn's Hidden Passage SPELL</t>
  </si>
  <si>
    <t>Dalthor's Linkshear CANTRIP</t>
  </si>
  <si>
    <t>Iron Nails CHARM</t>
  </si>
  <si>
    <t>Minor consecration FORMULA</t>
  </si>
  <si>
    <t>Eviltrack Agony CHARM</t>
  </si>
  <si>
    <t>No surprise SPELL</t>
  </si>
  <si>
    <t>Protection from animal Attack SPELL</t>
  </si>
  <si>
    <t>Full consecration RITUAL</t>
  </si>
  <si>
    <t>Protection From blindness SPELL</t>
  </si>
  <si>
    <t>Protection From Deception CANTRIP</t>
  </si>
  <si>
    <t>Protection From poison SPELL</t>
  </si>
  <si>
    <t>Protection From Fire CANTRIP</t>
  </si>
  <si>
    <t>Protection From Paralysis CHARM</t>
  </si>
  <si>
    <t>Safe Passage RITUAL</t>
  </si>
  <si>
    <t>Warning Alert FORMULA</t>
  </si>
  <si>
    <t>Backbiting CANTRIP</t>
  </si>
  <si>
    <t>Abjure SPELL</t>
  </si>
  <si>
    <t>Abjure CANTRIP</t>
  </si>
  <si>
    <t>Disrupt casting effect CANTRIP</t>
  </si>
  <si>
    <t>Chant of guarding CANTRIP</t>
  </si>
  <si>
    <t>Alruy's spiritguard RITUAL</t>
  </si>
  <si>
    <t>Invisibility to undead CANTRIP</t>
  </si>
  <si>
    <t>Invisibility to werethings CANTRIP</t>
  </si>
  <si>
    <t>Doublesalt CHARM</t>
  </si>
  <si>
    <t>Protection From disease SPELL</t>
  </si>
  <si>
    <t>Protection from curses SPELL</t>
  </si>
  <si>
    <t>Protection from natural accidents SPELL</t>
  </si>
  <si>
    <t>Protection from drowning CHARM</t>
  </si>
  <si>
    <t>Protection From pertriffcation SPELL</t>
  </si>
  <si>
    <t>Protection from subversion SPELL</t>
  </si>
  <si>
    <t>Protection from fear SPELL</t>
  </si>
  <si>
    <t>Protection from storms SPELL</t>
  </si>
  <si>
    <t>Undead Bane FORMULA</t>
  </si>
  <si>
    <t>Invisibility to Heka SPELL</t>
  </si>
  <si>
    <t>Hallowing RITUAL</t>
  </si>
  <si>
    <t>Invisibility to netherbeing CANTRIP</t>
  </si>
  <si>
    <t>Ironsplkes CHARM</t>
  </si>
  <si>
    <t>Prevent FORMULA</t>
  </si>
  <si>
    <t>Netherbottle SPELL</t>
  </si>
  <si>
    <t>Protection from maducss SPELL</t>
  </si>
  <si>
    <t>Protection form evil spirits SPELL</t>
  </si>
  <si>
    <t>Protection from III Luck CHARM</t>
  </si>
  <si>
    <t>Protection from theft CHARM</t>
  </si>
  <si>
    <t>Prtection from impact CHARM</t>
  </si>
  <si>
    <t>Sprit Trap CANTRIP</t>
  </si>
  <si>
    <t>Unseen guardian CANTRIP</t>
  </si>
  <si>
    <t>Silveriron CANTRIP</t>
  </si>
  <si>
    <t>Astrology Castings</t>
  </si>
  <si>
    <t>Astromancy SPELL</t>
  </si>
  <si>
    <t>Best time FORMULA</t>
  </si>
  <si>
    <t>Ascendant CANTRIP</t>
  </si>
  <si>
    <t>Heka sense SPELL</t>
  </si>
  <si>
    <t>Chart Alchemical operation SPELL</t>
  </si>
  <si>
    <t>Chart Heka forging FORMULA</t>
  </si>
  <si>
    <t>Influence of scorpio SPELL</t>
  </si>
  <si>
    <t>Elementscan SPELL</t>
  </si>
  <si>
    <t>Influence of Cancer FORMULA</t>
  </si>
  <si>
    <t>Know disposition CANTRIP</t>
  </si>
  <si>
    <t>Influence of venus CANTRIP</t>
  </si>
  <si>
    <t>Influence of mars SPELL</t>
  </si>
  <si>
    <t>Minor horoscope FORMULA</t>
  </si>
  <si>
    <t>Influence of Virgo RITUAL</t>
  </si>
  <si>
    <t>Know treth CHARM</t>
  </si>
  <si>
    <t>Start chart place FORMULA</t>
  </si>
  <si>
    <t>Star chart Item SPELL</t>
  </si>
  <si>
    <t>Major Horoscope FORMULA</t>
  </si>
  <si>
    <t>Heka sight spell SPELL</t>
  </si>
  <si>
    <t>Aetherscan CANTRIP</t>
  </si>
  <si>
    <t>Decan CANTRIP</t>
  </si>
  <si>
    <t>Influence of aquarius CANTRIP</t>
  </si>
  <si>
    <t>Arago's influence of the sun CANTRIP</t>
  </si>
  <si>
    <t>Detect evil influence FORMULA</t>
  </si>
  <si>
    <t>Influence of libra SPELL</t>
  </si>
  <si>
    <t>Influence of aries CANTRIP</t>
  </si>
  <si>
    <t>Influence of jupiter SPELL</t>
  </si>
  <si>
    <t>Influence of mercury SPELL</t>
  </si>
  <si>
    <t>Influence of Cemini SPELL</t>
  </si>
  <si>
    <t>Nostradamus' Circle of the Zodiac RITUAL</t>
  </si>
  <si>
    <t>Influence of the moon CANTRIP</t>
  </si>
  <si>
    <t>Influence of sagittarius CANTRIP</t>
  </si>
  <si>
    <t>Trevyn's star Portents RITUAL</t>
  </si>
  <si>
    <t>Kayyam's wisdon RITUAL</t>
  </si>
  <si>
    <t>Discover gate SPELL</t>
  </si>
  <si>
    <t>Discover Portal RITUAL</t>
  </si>
  <si>
    <t>Astralscan SPELL</t>
  </si>
  <si>
    <t>Incantation of saturn RITUAL</t>
  </si>
  <si>
    <t>Influence of leo RITUAL</t>
  </si>
  <si>
    <t>Influence of pisces FORMULA</t>
  </si>
  <si>
    <t>Influence of capricorn FORMULA</t>
  </si>
  <si>
    <t>Nostradomal's Forewarning RITUAL</t>
  </si>
  <si>
    <t>Shadzur's Foredooming RITUAL</t>
  </si>
  <si>
    <t>Influence of taurus SPELL</t>
  </si>
  <si>
    <t>Conjuration Castings</t>
  </si>
  <si>
    <t>Conjure Animal FORMULA</t>
  </si>
  <si>
    <t>Alruy's Phantom RITUAL</t>
  </si>
  <si>
    <t>Chokecloud of Balaam CANTRIP</t>
  </si>
  <si>
    <t>Energy gift CHARM</t>
  </si>
  <si>
    <t>Cipher of protection CHARM</t>
  </si>
  <si>
    <t>Deadspirit summoning SPELL</t>
  </si>
  <si>
    <t>Miniature Pentacle RITUAL</t>
  </si>
  <si>
    <t>Circle of invisibility CHARM</t>
  </si>
  <si>
    <t>Exclusive Pentacle RITUAL</t>
  </si>
  <si>
    <t>Pullout CHARM</t>
  </si>
  <si>
    <t>Detect malign aura CHARM</t>
  </si>
  <si>
    <t>Recall spirit RITUAL</t>
  </si>
  <si>
    <t>Elementary circle FORMULA</t>
  </si>
  <si>
    <t>Giyph of Harm CANTRIP</t>
  </si>
  <si>
    <t>Receptive circle CANTRIP</t>
  </si>
  <si>
    <t>Nature spirit service FORMULA</t>
  </si>
  <si>
    <t>Symbol of influence SPELL</t>
  </si>
  <si>
    <t>Ring of truth CANTRIP</t>
  </si>
  <si>
    <t>Phaeree cord CANTRIP</t>
  </si>
  <si>
    <t>Waterdrops FORMULA</t>
  </si>
  <si>
    <t>Sigil of avoidance SPELL</t>
  </si>
  <si>
    <t>Shadow belt CANTRIP</t>
  </si>
  <si>
    <t>Spellbind CANTRIP</t>
  </si>
  <si>
    <t>Symbol of deceit SPELL</t>
  </si>
  <si>
    <t>Symbol of suggestion CANTRIP</t>
  </si>
  <si>
    <t>Symbol of summoning RITUAL</t>
  </si>
  <si>
    <t>Cipher of shielding CHARM</t>
  </si>
  <si>
    <t>Conjure Lighting stroke FORMULA</t>
  </si>
  <si>
    <t>Conjure Ghosts RITUAL</t>
  </si>
  <si>
    <t>Conjured Fourntain CANTRIP</t>
  </si>
  <si>
    <t>Heka seeing CANTRIP</t>
  </si>
  <si>
    <t>Conjure Pharee Creatures FORMULA</t>
  </si>
  <si>
    <t>Firewand FORMULA</t>
  </si>
  <si>
    <t>Inclusive Pentacle RITUAL</t>
  </si>
  <si>
    <t>Dee's spirit charm CANTRIP</t>
  </si>
  <si>
    <t>Rune of wekness FORMULA</t>
  </si>
  <si>
    <t>Elementary array RITUAL</t>
  </si>
  <si>
    <t>Symbol of Madness RITUAL</t>
  </si>
  <si>
    <t>Symbol of Coercion SPELL</t>
  </si>
  <si>
    <t>Oath SPELL</t>
  </si>
  <si>
    <t>Thunderbird FORMULA</t>
  </si>
  <si>
    <t>Windbag RITUAL</t>
  </si>
  <si>
    <t>Symbol of control cantrip CANTRIP</t>
  </si>
  <si>
    <t>Conjure strome RITUAL</t>
  </si>
  <si>
    <t>Alruy's abomination CANTRIP</t>
  </si>
  <si>
    <t>Conjure Heka elemental SPELL</t>
  </si>
  <si>
    <t>Fix elemental effecct FORMULA</t>
  </si>
  <si>
    <t>Circle of expulsion SPELL</t>
  </si>
  <si>
    <t>Deathmist of balaam SPELL</t>
  </si>
  <si>
    <t>Loophole CHARM</t>
  </si>
  <si>
    <t>Conjure Heka Bolt CANTRIP</t>
  </si>
  <si>
    <t>Dimensiuon Trap FORMULA</t>
  </si>
  <si>
    <t>Painmist of balaam SPELL</t>
  </si>
  <si>
    <t>Merlin's entropical Links SPELL</t>
  </si>
  <si>
    <t>Egar's Three Ring curcuit RITUAL</t>
  </si>
  <si>
    <t>Power pentacle RITUAL</t>
  </si>
  <si>
    <t>Pessession RITUAL</t>
  </si>
  <si>
    <t>Erthboots SPELL</t>
  </si>
  <si>
    <t>sigil of abjuration CANTRIP</t>
  </si>
  <si>
    <t>Rune of capture FORMULA</t>
  </si>
  <si>
    <t>Symbol of banishment RITUAL</t>
  </si>
  <si>
    <t>Divination Castings</t>
  </si>
  <si>
    <t>Augury FORMULA</t>
  </si>
  <si>
    <t>Detect Heka Trap SPELL</t>
  </si>
  <si>
    <t>Detect displacement CANTRIP</t>
  </si>
  <si>
    <t>Chartomancy CANTRIP</t>
  </si>
  <si>
    <t>Dowsing SPELL</t>
  </si>
  <si>
    <t>Detect invisible object CANTRIP</t>
  </si>
  <si>
    <t>Detect Glyph SPELL</t>
  </si>
  <si>
    <t>Hydromancy FORMULA</t>
  </si>
  <si>
    <t>Path of direction SPELL</t>
  </si>
  <si>
    <t>Locate direction SPELL</t>
  </si>
  <si>
    <t>Spiritrede FORMULA</t>
  </si>
  <si>
    <t>Geomancy FORMULA</t>
  </si>
  <si>
    <t>Object Reading CANTRIP</t>
  </si>
  <si>
    <t>Universal Tongue SPELL</t>
  </si>
  <si>
    <t>Sounding SPELL</t>
  </si>
  <si>
    <t>Path of Wisdom SPELL</t>
  </si>
  <si>
    <t>Detect danger FORMULA</t>
  </si>
  <si>
    <t>Penetrate Illusion CANTRIP</t>
  </si>
  <si>
    <t>Know Properties FORMULA</t>
  </si>
  <si>
    <t>Empathy CANTRIP</t>
  </si>
  <si>
    <t>Psychometry FORMULA</t>
  </si>
  <si>
    <t>Legend FORMULA</t>
  </si>
  <si>
    <t>Heka reading CANTRIP</t>
  </si>
  <si>
    <t>Seeking SPELL</t>
  </si>
  <si>
    <t>Telempathy CANTRIP</t>
  </si>
  <si>
    <t>Identify SPELL</t>
  </si>
  <si>
    <t>Foretell RITUAL</t>
  </si>
  <si>
    <t>Prevision FORMULA</t>
  </si>
  <si>
    <t>Aura of awareness RITUAL</t>
  </si>
  <si>
    <t>Retrocognition RITUAL</t>
  </si>
  <si>
    <t>Prophecy RITUAL</t>
  </si>
  <si>
    <t>Precognition SPELL</t>
  </si>
  <si>
    <t>Exorcism Castings</t>
  </si>
  <si>
    <t>Candlemake FORMULA</t>
  </si>
  <si>
    <t>Abjure dweller SPELL</t>
  </si>
  <si>
    <t>Benediction CANTRIP</t>
  </si>
  <si>
    <t>Detect possession FORMULA</t>
  </si>
  <si>
    <t>Chant of bodin FORMULA</t>
  </si>
  <si>
    <t>Detect curse FORMULA</t>
  </si>
  <si>
    <t>Lightcandle CANTRIP</t>
  </si>
  <si>
    <t>Good wash FORMULA</t>
  </si>
  <si>
    <t>Unguentoil SPELL</t>
  </si>
  <si>
    <t>Potentfumes FORMULA</t>
  </si>
  <si>
    <t>Imbue incense SPELL</t>
  </si>
  <si>
    <t>Snuffcandle CANTRIP</t>
  </si>
  <si>
    <t>Ward of eleazar SPELL</t>
  </si>
  <si>
    <t>Abjure minor spirit SPELL</t>
  </si>
  <si>
    <t>Detect influence FORMULA</t>
  </si>
  <si>
    <t>Frighten evil spirit CANTRIP</t>
  </si>
  <si>
    <t>Malediction Upon evil RITUAL</t>
  </si>
  <si>
    <t>Unmasking CANTRIP</t>
  </si>
  <si>
    <t>Shield of eleazar CHARM</t>
  </si>
  <si>
    <t>Reveal CANTRIP</t>
  </si>
  <si>
    <t>Wellversed SPELL</t>
  </si>
  <si>
    <t>Theriomancy FORMULA</t>
  </si>
  <si>
    <t>Know Influence SPELL</t>
  </si>
  <si>
    <t>Confinement CHARM</t>
  </si>
  <si>
    <t>Banish RITUAL</t>
  </si>
  <si>
    <t>Netherslay CANTRIP</t>
  </si>
  <si>
    <t>Identifiy possessor RITUAL</t>
  </si>
  <si>
    <t>Soul restoration RITUAL</t>
  </si>
  <si>
    <t>Talisman of bodin FORMULA</t>
  </si>
  <si>
    <t>Nameseek RITUAL</t>
  </si>
  <si>
    <t>Fortune Telling Castings</t>
  </si>
  <si>
    <t>Aurur change SPELL</t>
  </si>
  <si>
    <t>Dreams RITUAL</t>
  </si>
  <si>
    <t>Aural sight CANTRIP</t>
  </si>
  <si>
    <t>Background SPELL</t>
  </si>
  <si>
    <t>Find lost object SPELL</t>
  </si>
  <si>
    <t>Detect false presence CANTRIP</t>
  </si>
  <si>
    <t>Influences SPELL</t>
  </si>
  <si>
    <t>Instruction FORMULA</t>
  </si>
  <si>
    <t>Know ethos SPELL</t>
  </si>
  <si>
    <t>Omen RITUAL</t>
  </si>
  <si>
    <t>Motivation SPELL</t>
  </si>
  <si>
    <t>Nemesis SPELL</t>
  </si>
  <si>
    <t>Sense vitality SPELL</t>
  </si>
  <si>
    <t>Chance of success FORMULA</t>
  </si>
  <si>
    <t>Crystal gaze FORMULA</t>
  </si>
  <si>
    <t>Belit's Minor arcana FORMULA</t>
  </si>
  <si>
    <t>Conjure smoke SPELL</t>
  </si>
  <si>
    <t>Monitin CANTRIP</t>
  </si>
  <si>
    <t>Soulmirror CANTRIP</t>
  </si>
  <si>
    <t>Foresee danger FORMULA</t>
  </si>
  <si>
    <t>Oracle of begols RITUAL</t>
  </si>
  <si>
    <t>Visions FORMULA</t>
  </si>
  <si>
    <t>Psychomancy CANTRIP</t>
  </si>
  <si>
    <t>Second sight SPELL</t>
  </si>
  <si>
    <t>Past life memory RITUAL</t>
  </si>
  <si>
    <t>Predict event RITUAL</t>
  </si>
  <si>
    <t>Imhotep's major arcana FORMULA</t>
  </si>
  <si>
    <t>Premonition SPELL</t>
  </si>
  <si>
    <t>Seeing eye CANTRIP</t>
  </si>
  <si>
    <t>Limited omnisclence RITUAL</t>
  </si>
  <si>
    <t>Heka Forging Castings</t>
  </si>
  <si>
    <t>Cleanse item RITUAL</t>
  </si>
  <si>
    <t>Attack bonus I FORMULA</t>
  </si>
  <si>
    <t>Clearmetal RITUAL</t>
  </si>
  <si>
    <t>Defense bonus I FORMULA</t>
  </si>
  <si>
    <t>Charm forging RITUAL</t>
  </si>
  <si>
    <t>Create Socket FORMULA</t>
  </si>
  <si>
    <t>Disjunction Distraction SPELL</t>
  </si>
  <si>
    <t>Damage bonus I FORMULA</t>
  </si>
  <si>
    <t>Defense bonus II FORMULA</t>
  </si>
  <si>
    <t>Evaluate item FORMULA</t>
  </si>
  <si>
    <t>Material Shaping FORMULA</t>
  </si>
  <si>
    <t>Item Return RITUAL</t>
  </si>
  <si>
    <t>Fireforge Heat RITUAL</t>
  </si>
  <si>
    <t>Powered Device FORMULA</t>
  </si>
  <si>
    <t>Recharge RITUAL</t>
  </si>
  <si>
    <t>Prepare item RITUAL</t>
  </si>
  <si>
    <t>Resiliency RITUAL</t>
  </si>
  <si>
    <t>Skill bonus I RITUAL</t>
  </si>
  <si>
    <t>Touchstone SPELL</t>
  </si>
  <si>
    <t>Springblade RITUAL</t>
  </si>
  <si>
    <t>Volition RITUAL</t>
  </si>
  <si>
    <t>Vital Seeking I FORMULA</t>
  </si>
  <si>
    <t>Attack Bonus II FORMULA</t>
  </si>
  <si>
    <t>Absorb Blow FORMULA</t>
  </si>
  <si>
    <t>Attack Bonus III FORMULA</t>
  </si>
  <si>
    <t>Dalthor's Pliable Metal SPELL</t>
  </si>
  <si>
    <t>Amulet RITUAL</t>
  </si>
  <si>
    <t>Damage Bonus III FORMULA</t>
  </si>
  <si>
    <t>Damage bonus II FORMULA</t>
  </si>
  <si>
    <t>Dalthor’s Material Fusion SPELL</t>
  </si>
  <si>
    <t>Dedicated pool ritual RITUAL</t>
  </si>
  <si>
    <t>Fast Combat Bonus I FORMULA</t>
  </si>
  <si>
    <t>Dancing Weapon RITUAL</t>
  </si>
  <si>
    <t>Fast Combat Bonus II FORMULA</t>
  </si>
  <si>
    <t>General pool RITUAL</t>
  </si>
  <si>
    <t>Defense bonus III FORMULA</t>
  </si>
  <si>
    <t>Personal Attunement RITUAL</t>
  </si>
  <si>
    <t>Integrate Socket Item RITUAL</t>
  </si>
  <si>
    <t>Heka Aperture Enhancement RITUAL</t>
  </si>
  <si>
    <t>Uncouple Socket Item RITUAL</t>
  </si>
  <si>
    <t>Obscurement FORMULA</t>
  </si>
  <si>
    <t>Skill Bonus II RITUAL</t>
  </si>
  <si>
    <t>Purity SPELL</t>
  </si>
  <si>
    <t>Vital Seeking II FORMULA</t>
  </si>
  <si>
    <t>Sense Danger RITUAL</t>
  </si>
  <si>
    <t>Heka Resistance RITUAL</t>
  </si>
  <si>
    <t>Fast Combat Bonus III FORMULA</t>
  </si>
  <si>
    <t>Link Spirit RITUAL</t>
  </si>
  <si>
    <t>Heka binding RITUAL</t>
  </si>
  <si>
    <t>Permanence RITUAL</t>
  </si>
  <si>
    <t>Item invuinerability FORMULA</t>
  </si>
  <si>
    <t>Link casting RITUAL</t>
  </si>
  <si>
    <t>Spirit Repository RITUAL</t>
  </si>
  <si>
    <t>Link knowledge skill RITUAL</t>
  </si>
  <si>
    <t>Link mask RITUAL</t>
  </si>
  <si>
    <t>Unbinding FORMULA</t>
  </si>
  <si>
    <t>Reflect Energy FORMULA</t>
  </si>
  <si>
    <t>Link Set RITUAL</t>
  </si>
  <si>
    <t>Skill bonus III RITUAL</t>
  </si>
  <si>
    <t>Location Attunement RITUAL</t>
  </si>
  <si>
    <t>Vital Seeking III FORMULA</t>
  </si>
  <si>
    <t>Herbalism Castings</t>
  </si>
  <si>
    <t>Grade I Castings (20 Heka)</t>
  </si>
  <si>
    <t>Grade II Castings (35 Heka)</t>
  </si>
  <si>
    <t>Grade III Castings (50 Heka)</t>
  </si>
  <si>
    <t>6 Total</t>
  </si>
  <si>
    <t>8 Total</t>
  </si>
  <si>
    <t>Auraread SPELL</t>
  </si>
  <si>
    <t>Air Bubbles Potion FORMULA</t>
  </si>
  <si>
    <t>Acute Senses Potion FORMULA</t>
  </si>
  <si>
    <t>Botanomancy SPELL</t>
  </si>
  <si>
    <t>Detect Disease SPELL</t>
  </si>
  <si>
    <t>Adjust Chi RITUAL</t>
  </si>
  <si>
    <t>Chiromancy SPELL</t>
  </si>
  <si>
    <t>Identify Disorder SPELL</t>
  </si>
  <si>
    <t>Cat‘s Grace Potion FORMULA</t>
  </si>
  <si>
    <t>Detect Poison CHARM</t>
  </si>
  <si>
    <t>Identify Poison CANTRIP</t>
  </si>
  <si>
    <t>Herbal Poison FORMULA</t>
  </si>
  <si>
    <t>Enhancement Powder FORMULA</t>
  </si>
  <si>
    <t>Iron Water FORMULA</t>
  </si>
  <si>
    <t>Levitate Potion FORMULA</t>
  </si>
  <si>
    <t>Fire Pepper Dust FORMULA</t>
  </si>
  <si>
    <t>Parasitesrid CANTRIP</t>
  </si>
  <si>
    <t>Ointment of Speed FORMULA</t>
  </si>
  <si>
    <t>Healing Poultice SPELL</t>
  </si>
  <si>
    <t>Pestrid CANTRIP</t>
  </si>
  <si>
    <t>Paralyzing Oil FORMULA</t>
  </si>
  <si>
    <t>Love Potion SPELL</t>
  </si>
  <si>
    <t>Remove Paralysis Oil FORMULA</t>
  </si>
  <si>
    <t>Potion of Healing FORMULA</t>
  </si>
  <si>
    <t>Purification Potion FORMULA</t>
  </si>
  <si>
    <t>Shield Potion FORMULA</t>
  </si>
  <si>
    <t>Resist Disease FORMULA</t>
  </si>
  <si>
    <t>Stabilize Potion FORMULA</t>
  </si>
  <si>
    <t>Sleep Potion FORMULA</t>
  </si>
  <si>
    <t>Resist Poison FORMULA</t>
  </si>
  <si>
    <t>Tears of the Frost Giant FORMULA</t>
  </si>
  <si>
    <t>Trollweed Potion FORMULA</t>
  </si>
  <si>
    <t>Grade IV Castings (75 Heka)</t>
  </si>
  <si>
    <t>Grade V Castings (100 Heka)</t>
  </si>
  <si>
    <t>Grade VI Castings (125 Heka)</t>
  </si>
  <si>
    <t>5 Total</t>
  </si>
  <si>
    <t>Animal Attractant FORMULA</t>
  </si>
  <si>
    <t>AEthereal Sight Elixir FORMULA</t>
  </si>
  <si>
    <t>Add Chi RITUAL</t>
  </si>
  <si>
    <t>Darkvision Potion FORMULA</t>
  </si>
  <si>
    <t>Antitoxin FORMULA</t>
  </si>
  <si>
    <t>Arrest Disease SPELL</t>
  </si>
  <si>
    <t>Identify Potion CHARM</t>
  </si>
  <si>
    <t>Flying Potion FORMULA</t>
  </si>
  <si>
    <t>Forgetfullness Elixir FORMULA</t>
  </si>
  <si>
    <t>Insight Potion FORMULA</t>
  </si>
  <si>
    <t>Healing Infusion FORMULA</t>
  </si>
  <si>
    <t>Gentle Repose Ointment FORMULA</t>
  </si>
  <si>
    <t>Minimize Poison SPELL</t>
  </si>
  <si>
    <t>Hekaberry SPELL</t>
  </si>
  <si>
    <t>Neutralize Poison SPELL</t>
  </si>
  <si>
    <t>Ointment of Strength FORMULA</t>
  </si>
  <si>
    <t>Oil of Infection FORMULA</t>
  </si>
  <si>
    <t>Oil of Invisibility FORMULA</t>
  </si>
  <si>
    <t>Painkiller FORMULA</t>
  </si>
  <si>
    <t>Potion of Greater Healing FORMULA</t>
  </si>
  <si>
    <t>Psychic Infusion FORMULA</t>
  </si>
  <si>
    <t>Spikesprout CHARM</t>
  </si>
  <si>
    <t>Truth Serum FORMULA</t>
  </si>
  <si>
    <t>Wraithwood Flower Elixir FORMULA</t>
  </si>
  <si>
    <t>Grade VII Castings (150 Heka)</t>
  </si>
  <si>
    <t>Grade VIII Castings (200 Heka)</t>
  </si>
  <si>
    <t>Grade IX Castings (250 Heka)</t>
  </si>
  <si>
    <t>4 Total</t>
  </si>
  <si>
    <t>2 Total</t>
  </si>
  <si>
    <t>Beast Repellant SPELL</t>
  </si>
  <si>
    <t>Balm of Regeneration FORMULA</t>
  </si>
  <si>
    <t>Effluvium of Aethereality FORMULA</t>
  </si>
  <si>
    <t>Catatonic FORMULA</t>
  </si>
  <si>
    <t>Elemental Oil FORMULA</t>
  </si>
  <si>
    <t>Invulnerability Potion FORMULA</t>
  </si>
  <si>
    <t>Effluvium of Delusion FORMULA</t>
  </si>
  <si>
    <t>Elixir of Increased Health FORMULA</t>
  </si>
  <si>
    <t>Potion of Supreme Healing FORMULA</t>
  </si>
  <si>
    <t>Mystic Oil FORMULA</t>
  </si>
  <si>
    <t>Gaseous Form Potion FORMULA</t>
  </si>
  <si>
    <t>Rejuvenating Draught RITUAL</t>
  </si>
  <si>
    <t>Potion of Superior Healing FORMULA</t>
  </si>
  <si>
    <t>Powercrystal SPELL</t>
  </si>
  <si>
    <t>Mediumship Castings</t>
  </si>
  <si>
    <t>Ancestral spirit FORMULA</t>
  </si>
  <si>
    <t>Levitation CANTRIP</t>
  </si>
  <si>
    <t>Goodspirit RITUAL</t>
  </si>
  <si>
    <t>Apports CANTRIP</t>
  </si>
  <si>
    <t>Materialization CANTRIP</t>
  </si>
  <si>
    <t>Mental shield CANTRIP</t>
  </si>
  <si>
    <t>Calling RITUAL</t>
  </si>
  <si>
    <t>Nature essence FORMULA</t>
  </si>
  <si>
    <t>Messenger spirit SPELL</t>
  </si>
  <si>
    <t>Contact other sphere RITUAL</t>
  </si>
  <si>
    <t>Muse FORMULA</t>
  </si>
  <si>
    <t>Shade FORMULA</t>
  </si>
  <si>
    <t>Soothing spirit FORMULA</t>
  </si>
  <si>
    <t>Plasmaform RITUAL</t>
  </si>
  <si>
    <t>Spirit Lights SPELL</t>
  </si>
  <si>
    <t>Spirit Guide SPELL</t>
  </si>
  <si>
    <t>Channel vision RITUAL</t>
  </si>
  <si>
    <t>Phantom Hand CHARM</t>
  </si>
  <si>
    <t>Deva RITUAL</t>
  </si>
  <si>
    <t>Cleansing spirit FORMULA</t>
  </si>
  <si>
    <t>Spirit helper SPELL</t>
  </si>
  <si>
    <t>Spirit Guardian SPELL</t>
  </si>
  <si>
    <t>Ghostwriting SPELL</t>
  </si>
  <si>
    <t>Warding spirit FORMULA</t>
  </si>
  <si>
    <t>Tracking spirit FORMULA</t>
  </si>
  <si>
    <t>Healing spirit FORMULA</t>
  </si>
  <si>
    <t>Haunt FORMULA</t>
  </si>
  <si>
    <t>Psychic Shield CANTRIP</t>
  </si>
  <si>
    <t>Oracular spirit RITUAL</t>
  </si>
  <si>
    <t>Spirit hunter SPELL</t>
  </si>
  <si>
    <t>Spirit power SPELL</t>
  </si>
  <si>
    <t>Preespirit SPELL</t>
  </si>
  <si>
    <t>Spiritual shield CANTRIP</t>
  </si>
  <si>
    <t>Spirit warrior CANTRIP</t>
  </si>
  <si>
    <t>Tesseract RITUAL</t>
  </si>
  <si>
    <t>Mysticism Castings</t>
  </si>
  <si>
    <t>Clairaudience FORMULA</t>
  </si>
  <si>
    <t>Astral projection FORMULA</t>
  </si>
  <si>
    <t>Clairvoyance FORMULA</t>
  </si>
  <si>
    <t>Discern presences SPELL</t>
  </si>
  <si>
    <t>Clairsentience FORMULA</t>
  </si>
  <si>
    <t>Crystalomancy SPELL</t>
  </si>
  <si>
    <t>Hemisphere of yang CANTRIP</t>
  </si>
  <si>
    <t>Etheric sight SPELL</t>
  </si>
  <si>
    <t>Faith healing RITUAL</t>
  </si>
  <si>
    <t>Hour of the Rooster RITUAL</t>
  </si>
  <si>
    <t>Mah Chi Wind SPELL</t>
  </si>
  <si>
    <t>Fakir CANTRIP</t>
  </si>
  <si>
    <t>Hyperaesthesia FORMULA</t>
  </si>
  <si>
    <t>Mystic skill Bonus FORMULA</t>
  </si>
  <si>
    <t>Hemisphere of yia CANTRIP</t>
  </si>
  <si>
    <t>Penetrate disguise FORMULA</t>
  </si>
  <si>
    <t>Mystic visions SPELL</t>
  </si>
  <si>
    <t>Mah Chi SPELL</t>
  </si>
  <si>
    <t>Sending RITUAL</t>
  </si>
  <si>
    <t>Power of wood CHARM</t>
  </si>
  <si>
    <t>Transfer consciousness RITUAL</t>
  </si>
  <si>
    <t>True sight CANTRIP</t>
  </si>
  <si>
    <t>Mystic Dreams SPELL</t>
  </si>
  <si>
    <t>Ophidian Hypnosis CHARM</t>
  </si>
  <si>
    <t>Circle of balance CANTRIP</t>
  </si>
  <si>
    <t>Baraka RITUAL</t>
  </si>
  <si>
    <t>Expanded consciousness CANTRIP</t>
  </si>
  <si>
    <t>Heka sight SPELL</t>
  </si>
  <si>
    <t>Dalthor's Duality RITUAL</t>
  </si>
  <si>
    <t>Hour of the boar RITUAL</t>
  </si>
  <si>
    <t>Hourj of the goat RITUAL</t>
  </si>
  <si>
    <t>Hour of the cast RITUAL</t>
  </si>
  <si>
    <t>Hour of the dog RITUAL</t>
  </si>
  <si>
    <t>Mass hypnosis CANTRIP</t>
  </si>
  <si>
    <t>Hour of the horse RITUAL</t>
  </si>
  <si>
    <t>Hour of the Rat RITUAL</t>
  </si>
  <si>
    <t>Mystic Bullents CHARM</t>
  </si>
  <si>
    <t>Mah chi Flower SPELL</t>
  </si>
  <si>
    <t>Mystic circle RITUAL</t>
  </si>
  <si>
    <t>Phase shifting SPELL</t>
  </si>
  <si>
    <t>Mystic missile CHARM</t>
  </si>
  <si>
    <t>Power of water CHARM</t>
  </si>
  <si>
    <t>Telepathy CANTRIP</t>
  </si>
  <si>
    <t>Power of erth CHARM</t>
  </si>
  <si>
    <t>Torpify CHARM</t>
  </si>
  <si>
    <t>Celestial sight SPELL</t>
  </si>
  <si>
    <t>Hour of the Tiger RITUAL</t>
  </si>
  <si>
    <t>Astral sight RITUAL</t>
  </si>
  <si>
    <t>Good Fortune FORMULA</t>
  </si>
  <si>
    <t>Mah chi Season SPELL</t>
  </si>
  <si>
    <t>Dimension Track RITUAL</t>
  </si>
  <si>
    <t>Hour of the Buffalo RITUAL</t>
  </si>
  <si>
    <t>Misfortune SPELL</t>
  </si>
  <si>
    <t>Hour of the dragon RITUAL</t>
  </si>
  <si>
    <t>Hour of the monkey RITUAL</t>
  </si>
  <si>
    <t>Power of Fire CHARM</t>
  </si>
  <si>
    <t>Hour of the snake RITUAL</t>
  </si>
  <si>
    <t>Sixth sense CHARM</t>
  </si>
  <si>
    <t>Power of Metal CHARM</t>
  </si>
  <si>
    <t>Necromancy Castings</t>
  </si>
  <si>
    <t>Discover tomb wards FORMULA</t>
  </si>
  <si>
    <t>Animate Corpse SPELL</t>
  </si>
  <si>
    <t>Arrowbones CHARM</t>
  </si>
  <si>
    <t>Find corpse CANTRIP</t>
  </si>
  <si>
    <t>Animate Skeleton SPELL</t>
  </si>
  <si>
    <t>Disarm Tombtrap CANTRIP</t>
  </si>
  <si>
    <t>Find skeleton SPELL</t>
  </si>
  <si>
    <t>Call Corpses FORMULA</t>
  </si>
  <si>
    <t>Find deadspirit CANTRIP</t>
  </si>
  <si>
    <t>Call skeletons FORMULA</t>
  </si>
  <si>
    <t>Locate hidden tomb SPELL</t>
  </si>
  <si>
    <t>Open allbiers CANTRIP</t>
  </si>
  <si>
    <t>Charnnelreek CANTRIP</t>
  </si>
  <si>
    <t>Pass through Stonetomb SPELL</t>
  </si>
  <si>
    <t>Protection form Dead SPELL</t>
  </si>
  <si>
    <t>Imbue remains with speed FORMULA</t>
  </si>
  <si>
    <t>Protection From undead SPELL</t>
  </si>
  <si>
    <t>Protection From charnalrats CHARM</t>
  </si>
  <si>
    <t>Protection From Deadspirits CANTRIP</t>
  </si>
  <si>
    <t>Questiondead FORMULA</t>
  </si>
  <si>
    <t>Protection From deathrot CANTRIP</t>
  </si>
  <si>
    <t>Revitalize Bones FORMULA</t>
  </si>
  <si>
    <t>Query Deadspirit SPELL</t>
  </si>
  <si>
    <t>Revitalize Corpse FORMULA</t>
  </si>
  <si>
    <t>Unhallowed path SPELL</t>
  </si>
  <si>
    <t>Skeletalguise SPELL</t>
  </si>
  <si>
    <t>Compatibility with deadspirits SPELL</t>
  </si>
  <si>
    <t>Compatibility with undead RITUAL</t>
  </si>
  <si>
    <t>Command corpse company FORMULA</t>
  </si>
  <si>
    <t>Find undead CANTRIP</t>
  </si>
  <si>
    <t>Find unliving FORMULA</t>
  </si>
  <si>
    <t>Compatibility with unliving SPELL</t>
  </si>
  <si>
    <t>Imbue Remains with cunning SPELL</t>
  </si>
  <si>
    <t>Ghostlyguard FORMULA</t>
  </si>
  <si>
    <t>Ghoulsfeast FORMULA</t>
  </si>
  <si>
    <t>Necropire FORMULA</t>
  </si>
  <si>
    <t>Shrouds of iron SPELL</t>
  </si>
  <si>
    <t>Hekasafe CHARM</t>
  </si>
  <si>
    <t>Rotfiesh SPELL</t>
  </si>
  <si>
    <t>Ultrazomble FORMULA</t>
  </si>
  <si>
    <t>Hide Desecration SPELL</t>
  </si>
  <si>
    <t>Stoneskeleton FORMULA</t>
  </si>
  <si>
    <t>Wraithform FORMULA</t>
  </si>
  <si>
    <t>Rigormortis CANTRIP</t>
  </si>
  <si>
    <t>Deathshead FORMULA</t>
  </si>
  <si>
    <t>Compatibility with netherlife SPELL</t>
  </si>
  <si>
    <t>Horrify CHARM</t>
  </si>
  <si>
    <t>Deathstouch SPELL</t>
  </si>
  <si>
    <t>Enter Deadrealms FORMULA</t>
  </si>
  <si>
    <t>Summon Deadspirits SPELL</t>
  </si>
  <si>
    <t>Feed on death SPELL</t>
  </si>
  <si>
    <t>Reapersblade CANTRIP</t>
  </si>
  <si>
    <t>Unsanctify Ground RITUAL</t>
  </si>
  <si>
    <t>Summon undead FORMULA</t>
  </si>
  <si>
    <t>Summon unlife RITUAL</t>
  </si>
  <si>
    <t>Withertouch SPELL</t>
  </si>
  <si>
    <t>Undead lieutenant FORMULA</t>
  </si>
  <si>
    <t>Unalive lieutenant FORMULA</t>
  </si>
  <si>
    <t>Wormsplague FORMULA</t>
  </si>
  <si>
    <t>Charnel Juggernaut RITUAL</t>
  </si>
  <si>
    <t>Cheat Death CANTRIP</t>
  </si>
  <si>
    <t>Gravesink SPELL</t>
  </si>
  <si>
    <t>Spectram Form FORMULA</t>
  </si>
  <si>
    <t>Uniliving Counsellor FORMULA</t>
  </si>
  <si>
    <t>Sorcery Castings</t>
  </si>
  <si>
    <t>Call Up RITUAL</t>
  </si>
  <si>
    <t>Beguile netherling FORMULA</t>
  </si>
  <si>
    <t>Barpath SPELL</t>
  </si>
  <si>
    <t>Flattery CANTRIP</t>
  </si>
  <si>
    <t>Cardan's Treacherytrap FORMULA</t>
  </si>
  <si>
    <t>Castlow CHARM</t>
  </si>
  <si>
    <t>Irritate CHARM</t>
  </si>
  <si>
    <t>Darkspeak CHARM</t>
  </si>
  <si>
    <t>Infernal Circle of flame CANTRIP</t>
  </si>
  <si>
    <t>Muddlemist CANTRIP</t>
  </si>
  <si>
    <t>Dismiss SPELL</t>
  </si>
  <si>
    <t>Minor Power RITUAL</t>
  </si>
  <si>
    <t>Negotiation CHARM</t>
  </si>
  <si>
    <t>Sorcerous star RITUAL</t>
  </si>
  <si>
    <t>Obedience SPELL</t>
  </si>
  <si>
    <t>Pentagram RITUAL</t>
  </si>
  <si>
    <t>Trueanswer CANTRIP</t>
  </si>
  <si>
    <t>Oneservice FORMULA</t>
  </si>
  <si>
    <t>Power Ring RITUAL</t>
  </si>
  <si>
    <t>Cagliostro's Force duty SPELL</t>
  </si>
  <si>
    <t>Arcane Bolt CHARM</t>
  </si>
  <si>
    <t>Bugform SPELL</t>
  </si>
  <si>
    <t>Doubleservice FORMULA</t>
  </si>
  <si>
    <t>Darkdespair CANTRIP</t>
  </si>
  <si>
    <t>Drawfangs CHARM</t>
  </si>
  <si>
    <t>Feed barkling RITUAL</t>
  </si>
  <si>
    <t>Dazeall CANTRIP</t>
  </si>
  <si>
    <t>Nethernull FORMULA</t>
  </si>
  <si>
    <t>Summoning of Power RITUAL</t>
  </si>
  <si>
    <t>Needlepangs CHARM</t>
  </si>
  <si>
    <t>Silverchains CANTRIP</t>
  </si>
  <si>
    <t>Weaken FORMULA</t>
  </si>
  <si>
    <t>Powerbribe FORMULA</t>
  </si>
  <si>
    <t>Spiritspain CANTRIP</t>
  </si>
  <si>
    <t>Animalform SPELL</t>
  </si>
  <si>
    <t>Beastform SPELL</t>
  </si>
  <si>
    <t>Drawpower RITUAL</t>
  </si>
  <si>
    <t>Ironshackles SPELL</t>
  </si>
  <si>
    <t>Leechforce CHARM</t>
  </si>
  <si>
    <t>Ironcrypt CANTRIP</t>
  </si>
  <si>
    <t>Silvercell CANTRIP</t>
  </si>
  <si>
    <t>Oubliette of eternity FORMULA</t>
  </si>
  <si>
    <t>Time of Belloc CANTRIP</t>
  </si>
  <si>
    <t>Tearwings CHARM</t>
  </si>
  <si>
    <t>Wrackbeast CANTRIP</t>
  </si>
  <si>
    <t>Spellsongs Castings</t>
  </si>
  <si>
    <t>Acclumsed ode CANTRIP</t>
  </si>
  <si>
    <t>Alto aire SPELL</t>
  </si>
  <si>
    <t>Animalfear Pibroch SPELL</t>
  </si>
  <si>
    <t>Avies warble SPELL</t>
  </si>
  <si>
    <t>Ampliflcation area SPELL</t>
  </si>
  <si>
    <t>Conceal ditty SPELL</t>
  </si>
  <si>
    <t>Bar couplet CANTRIP</t>
  </si>
  <si>
    <t>Bramblepath Refrain CANTRIP</t>
  </si>
  <si>
    <t>Cowardice Refrain FORMULA</t>
  </si>
  <si>
    <t>Calm aire SPELL</t>
  </si>
  <si>
    <t>Bravery Measure SPELL</t>
  </si>
  <si>
    <t>Darting dags adagio SPELL</t>
  </si>
  <si>
    <t>Camaraderis chorus SPELL</t>
  </si>
  <si>
    <t>Chancefix motif CHARM</t>
  </si>
  <si>
    <t>Distractionnless tune SPELL</t>
  </si>
  <si>
    <t>Convince Harmony SPELL</t>
  </si>
  <si>
    <t>Cliffclimb Bravura SPELL</t>
  </si>
  <si>
    <t>Forestfriend couplet SPELL</t>
  </si>
  <si>
    <t>Discover ditty SPELL</t>
  </si>
  <si>
    <t>Fairwind chanty FORMULA</t>
  </si>
  <si>
    <t>Freenerves strain SPELL</t>
  </si>
  <si>
    <t>Dreamhaunter Melody FORMULA</t>
  </si>
  <si>
    <t>Freemuscles strain SPELL</t>
  </si>
  <si>
    <t>Major chord march SPELL</t>
  </si>
  <si>
    <t>Drowsiness lullaby SPELL</t>
  </si>
  <si>
    <t>Gooddrink measure CANTRIP</t>
  </si>
  <si>
    <t>Poisongone Tocsin CANTRIP</t>
  </si>
  <si>
    <t>Drying oratorio CANTRIP</t>
  </si>
  <si>
    <t>Goodfeast carol FORMULA</t>
  </si>
  <si>
    <t>Puissance Canticle SPELL</t>
  </si>
  <si>
    <t>Faunacare warble SPELL</t>
  </si>
  <si>
    <t>Longwalk strain SPELL</t>
  </si>
  <si>
    <t>Revitalize paez SPELL</t>
  </si>
  <si>
    <t>Faunalter Dissonance SPELL</t>
  </si>
  <si>
    <t>Newcloth motif FORMULA</t>
  </si>
  <si>
    <t>Safeplace aria SPELL</t>
  </si>
  <si>
    <t>Favoice yodel CANTRIP</t>
  </si>
  <si>
    <t>Notable aire SPELL</t>
  </si>
  <si>
    <t>Flat ode SPELL</t>
  </si>
  <si>
    <t>Shelter Aria FORMULA</t>
  </si>
  <si>
    <t>Florachange Pastoral SPELL</t>
  </si>
  <si>
    <t>Sleepheal nocturne FORMULA</t>
  </si>
  <si>
    <t>Misdirect Limerick CANTRIP</t>
  </si>
  <si>
    <t>Ready Canon CHARM</t>
  </si>
  <si>
    <t>Sharp ballad SPELL</t>
  </si>
  <si>
    <t>Sorrow lament SPELL</t>
  </si>
  <si>
    <t>Sour Ditty SPELL</t>
  </si>
  <si>
    <t>Warming Peal CANTRIP</t>
  </si>
  <si>
    <t>Battlesong bravura FORMULA</t>
  </si>
  <si>
    <t>Alleymazes Gde SPELL</t>
  </si>
  <si>
    <t>Arrowstorm Aire SPELL</t>
  </si>
  <si>
    <t>Blue prospects ballad SPELL</t>
  </si>
  <si>
    <t>Faet fiada canticle SPELL</t>
  </si>
  <si>
    <t>Bonfire ballad CANTRIP</t>
  </si>
  <si>
    <t>Flaseview ditty SPELL</t>
  </si>
  <si>
    <t>Headwrench chorus SPELL</t>
  </si>
  <si>
    <t>Cry of the valkyrie aria SPELL</t>
  </si>
  <si>
    <t>Freebreath chant SPELL</t>
  </si>
  <si>
    <t>Inspire Bravura SPELL</t>
  </si>
  <si>
    <t>Doublequick March CANTRIP</t>
  </si>
  <si>
    <t>Freemind aire FORMULA</t>
  </si>
  <si>
    <t>Javelin Volley Ditty SPELL</t>
  </si>
  <si>
    <t>Fogvell barcarolle FORMULA</t>
  </si>
  <si>
    <t>Full stop refrain SPELL</t>
  </si>
  <si>
    <t>Monstersfear pibroch CANTRIP</t>
  </si>
  <si>
    <t>Jangle jingle SPELL</t>
  </si>
  <si>
    <t>Hekahedge refrain SPELL</t>
  </si>
  <si>
    <t>Piper's Prance Adagio CANTRIP</t>
  </si>
  <si>
    <t>Merriment Limerick SPELL</t>
  </si>
  <si>
    <t>Ironsteed Ballad SPELL</t>
  </si>
  <si>
    <t>Quaver Pibroch SPELL</t>
  </si>
  <si>
    <t>Quenchfire Limerick CANTRIP</t>
  </si>
  <si>
    <t>Lightlygo aire SPELL</t>
  </si>
  <si>
    <t>Shielding song SPELL</t>
  </si>
  <si>
    <t>Rallyround Bravura SPELL</t>
  </si>
  <si>
    <t>Volunteer chorus SPELL</t>
  </si>
  <si>
    <t>Spirithedge Refrain SPELL</t>
  </si>
  <si>
    <t>Sirensong lay SPELL</t>
  </si>
  <si>
    <t>Walldong march FORMULA</t>
  </si>
  <si>
    <t>Staff verse FORMULA</t>
  </si>
  <si>
    <t>Warningcall peal CANTRIP</t>
  </si>
  <si>
    <t>Sympathy Lament SPELL</t>
  </si>
  <si>
    <t>Beastcharm serenade CANTRIP</t>
  </si>
  <si>
    <t>Boulderbring Bracarolle CANTRIP</t>
  </si>
  <si>
    <t>Bridging Measure SPELL</t>
  </si>
  <si>
    <t>Bringhunters yodel SPELL</t>
  </si>
  <si>
    <t>Cloudwalker aire SPELL</t>
  </si>
  <si>
    <t>Cacaphony chorus SPELL</t>
  </si>
  <si>
    <t>Chasmleap madrigal CANTRIP</t>
  </si>
  <si>
    <t>Coolflames Ditty SPELL</t>
  </si>
  <si>
    <t>Creepingcord serenade CANTRIP</t>
  </si>
  <si>
    <t>Firebrand ballad SPELL</t>
  </si>
  <si>
    <t>Distantdoor yodel SPELL</t>
  </si>
  <si>
    <t>Deepditch Rondo SPELL</t>
  </si>
  <si>
    <t>Formguise Tune SPELL</t>
  </si>
  <si>
    <t>Flyingblade canon CANTRIP</t>
  </si>
  <si>
    <t>Deepseas chanty FORMULA</t>
  </si>
  <si>
    <t>Pikehedge refrain SPELL</t>
  </si>
  <si>
    <t>Sleepsteal Nocturne SPELL</t>
  </si>
  <si>
    <t>Freebonds Strain SPELL</t>
  </si>
  <si>
    <t>Rondo susicato FORMULA</t>
  </si>
  <si>
    <t>Weathermage Tune FORMULA</t>
  </si>
  <si>
    <t>Icespears canon CANTRIP</t>
  </si>
  <si>
    <t>Unbarring Jingle CANTRIP</t>
  </si>
  <si>
    <t>Shadowdance couplet SPELL</t>
  </si>
  <si>
    <t>Vocal cords Strain SPELL</t>
  </si>
  <si>
    <t>Smoothway lyric SPELL</t>
  </si>
  <si>
    <t>Winddarts canon CANTRIP</t>
  </si>
  <si>
    <t>Faraway song SPELL</t>
  </si>
  <si>
    <t>Firebeing Rhapsody SPELL</t>
  </si>
  <si>
    <t>Noplace to hide Chant FORMULA</t>
  </si>
  <si>
    <t>Protalopen aria CANTRIP</t>
  </si>
  <si>
    <t>Quicktree March SPELL</t>
  </si>
  <si>
    <t>Safesleep aria SPELL</t>
  </si>
  <si>
    <t>Shadowling Motif SPELL</t>
  </si>
  <si>
    <t>Witchcraeft Castings</t>
  </si>
  <si>
    <t>Batsears SPELL</t>
  </si>
  <si>
    <t>Auraswitch EYEBITE</t>
  </si>
  <si>
    <t>Anger EYEBITE</t>
  </si>
  <si>
    <t>Blueburn CANTRIP</t>
  </si>
  <si>
    <t>Bodynoises EYEBITE</t>
  </si>
  <si>
    <t>Blightcrop SPELL</t>
  </si>
  <si>
    <t>Catseyes SPELL</t>
  </si>
  <si>
    <t>Doubt CHARM</t>
  </si>
  <si>
    <t>Drunkhead CHARM</t>
  </si>
  <si>
    <t>Creeple crawlles SPELL</t>
  </si>
  <si>
    <t>Fireflare EYEBITE</t>
  </si>
  <si>
    <t>Gluttony CHARM</t>
  </si>
  <si>
    <t>Fang EYEBITE</t>
  </si>
  <si>
    <t>Firesmoke CHARM</t>
  </si>
  <si>
    <t>Hex EYEBITE</t>
  </si>
  <si>
    <t>Makeface EYEBITE</t>
  </si>
  <si>
    <t>Flameleap CHARM</t>
  </si>
  <si>
    <t>Lightsout EYEBITE</t>
  </si>
  <si>
    <t>Mumble EYEBITE</t>
  </si>
  <si>
    <t>Fumbleslip EYEBITE</t>
  </si>
  <si>
    <t>Netherspeak CHARM</t>
  </si>
  <si>
    <t>Rotfiber CANTRIP</t>
  </si>
  <si>
    <t>Mal omens CANTRIP</t>
  </si>
  <si>
    <t>Polsondrink CANTRIP</t>
  </si>
  <si>
    <t>Stare EYEBITE</t>
  </si>
  <si>
    <t>Slamlock EYEBITE</t>
  </si>
  <si>
    <t>Reversed Pentagram RITUAL</t>
  </si>
  <si>
    <t>Witchmark CANTRIP</t>
  </si>
  <si>
    <t>Sourwine EYEBITE</t>
  </si>
  <si>
    <t>Sicken CHARM</t>
  </si>
  <si>
    <t>Witchride FORMULA</t>
  </si>
  <si>
    <t>Stirhatred CANTRIP</t>
  </si>
  <si>
    <t>Spollfood CHARM</t>
  </si>
  <si>
    <t>Witchtongue CHARM</t>
  </si>
  <si>
    <t>Trip EYEBITE</t>
  </si>
  <si>
    <t>Stun Animal EYEBITE</t>
  </si>
  <si>
    <t>Witherplant EYEBITE</t>
  </si>
  <si>
    <t>Witchspeak CHARM</t>
  </si>
  <si>
    <t>Tumblefall EYEBITE</t>
  </si>
  <si>
    <t>Avarice CHARM</t>
  </si>
  <si>
    <t>Badluk RITUAL</t>
  </si>
  <si>
    <t>Cacldefear CHARM</t>
  </si>
  <si>
    <t>Callstorm FORMULA</t>
  </si>
  <si>
    <t>Damaging winds SPELL</t>
  </si>
  <si>
    <t>Damaging Hail SPELL</t>
  </si>
  <si>
    <t>Doublewitch CANTRIP</t>
  </si>
  <si>
    <t>Evil Eye EYEBITE</t>
  </si>
  <si>
    <t>Hidehut FORMULA</t>
  </si>
  <si>
    <t>Doze EYEBITE</t>
  </si>
  <si>
    <t>Fadeinks CHARM</t>
  </si>
  <si>
    <t>Nighthide SPELL</t>
  </si>
  <si>
    <t>Envy EYEBITE</t>
  </si>
  <si>
    <t>Fainting EYEBITE</t>
  </si>
  <si>
    <t>Polsonfare CHARM</t>
  </si>
  <si>
    <t>Hexagain SPELL</t>
  </si>
  <si>
    <t>Heavy precipition SPELL</t>
  </si>
  <si>
    <t>Seagale FORMULA</t>
  </si>
  <si>
    <t>Liespeaking CHARM</t>
  </si>
  <si>
    <t>Hextrap CANTRIP</t>
  </si>
  <si>
    <t>Slowdeath EYEBITE</t>
  </si>
  <si>
    <t>Lust EYEBITE</t>
  </si>
  <si>
    <t>Jealousy EYEBITE</t>
  </si>
  <si>
    <t>Vomit flames CHARM</t>
  </si>
  <si>
    <t>Oilfire SPELL</t>
  </si>
  <si>
    <t>Maggots RITUAL</t>
  </si>
  <si>
    <t>Waterscry FORMULA</t>
  </si>
  <si>
    <t>Poisonspit CHARM</t>
  </si>
  <si>
    <t>Poisonbreath SPELL</t>
  </si>
  <si>
    <t>Rotwood CANTRIP</t>
  </si>
  <si>
    <t>Prettylooks FORMULA</t>
  </si>
  <si>
    <t>Talking frog FORMULA</t>
  </si>
  <si>
    <t>Rustmetal SPELL</t>
  </si>
  <si>
    <t>Witchbolt EYEBITE</t>
  </si>
  <si>
    <t>Witching hour SPELL</t>
  </si>
  <si>
    <t>Breach circle SPELL</t>
  </si>
  <si>
    <t>Evilbeast SPELL</t>
  </si>
  <si>
    <t>Bringlightnings SPELL</t>
  </si>
  <si>
    <t>Breaklimb CANTRIP</t>
  </si>
  <si>
    <t>Frogprince SPELL</t>
  </si>
  <si>
    <t>Inanimation CHARM</t>
  </si>
  <si>
    <t>Evilspirit SPELL</t>
  </si>
  <si>
    <t>Ghostblight CANTRIP</t>
  </si>
  <si>
    <t>Panicksteed EYEBITE</t>
  </si>
  <si>
    <t>Frogform SPELL</t>
  </si>
  <si>
    <t>Spiritforge CANTRIP</t>
  </si>
  <si>
    <t>Ratpack FORMULA</t>
  </si>
  <si>
    <t>Hanghaunt FORMULA</t>
  </si>
  <si>
    <t>Time flies SPELL</t>
  </si>
  <si>
    <t>Scorpionsting CANTRIP</t>
  </si>
  <si>
    <t>Knifewound EYEBITE</t>
  </si>
  <si>
    <t>Triplespace FORMULA</t>
  </si>
  <si>
    <t>Throwflames CHARM</t>
  </si>
  <si>
    <t>Toadstool SPELL</t>
  </si>
  <si>
    <t>Whichwitch CHARM</t>
  </si>
  <si>
    <t>K/S Area</t>
  </si>
  <si>
    <t>Easy</t>
  </si>
  <si>
    <t>Mod</t>
  </si>
  <si>
    <t>Hard</t>
  </si>
  <si>
    <t>Diff</t>
  </si>
  <si>
    <t>V Diff</t>
  </si>
  <si>
    <t>Extreme</t>
  </si>
  <si>
    <t>Armor</t>
  </si>
  <si>
    <t xml:space="preserve">PIER </t>
  </si>
  <si>
    <t>BLUNT</t>
  </si>
  <si>
    <t>Vital</t>
  </si>
  <si>
    <t>Average</t>
  </si>
  <si>
    <t>Mysticism</t>
  </si>
  <si>
    <t>Adjustments to STEEP for casting</t>
  </si>
  <si>
    <t>Base DR for Casting Grade (FULL PRACTICE)*</t>
  </si>
  <si>
    <t>+20</t>
  </si>
  <si>
    <t>Adj STEEP</t>
  </si>
  <si>
    <t>I</t>
  </si>
  <si>
    <t>II</t>
  </si>
  <si>
    <t>III</t>
  </si>
  <si>
    <t>IV</t>
  </si>
  <si>
    <t>V</t>
  </si>
  <si>
    <t>VI</t>
  </si>
  <si>
    <t>VII</t>
  </si>
  <si>
    <t>VIII</t>
  </si>
  <si>
    <t>IX</t>
  </si>
  <si>
    <t>+10</t>
  </si>
  <si>
    <t>01-20</t>
  </si>
  <si>
    <t>Extr</t>
  </si>
  <si>
    <t>--</t>
  </si>
  <si>
    <t>21-30</t>
  </si>
  <si>
    <t xml:space="preserve">  0</t>
  </si>
  <si>
    <t>31-40</t>
  </si>
  <si>
    <t>-10</t>
  </si>
  <si>
    <t>41-50</t>
  </si>
  <si>
    <t>51-60</t>
  </si>
  <si>
    <t>-20</t>
  </si>
  <si>
    <t>61-70</t>
  </si>
  <si>
    <t>-30</t>
  </si>
  <si>
    <t>71-80</t>
  </si>
  <si>
    <t>81-90</t>
  </si>
  <si>
    <t>91+</t>
  </si>
  <si>
    <r>
      <t xml:space="preserve">* Note the Base DR of the Casting Grade assumes the caster is not a Full Practitioner. Full Practitioners (Mages or Priests, for example) have a bonus of 1 DR rating easier for the Casting Grade, but ONLY in the K/S area and their special Sub-Area, not with respect to all castings of any sort. For example, a Full Practice Green Dweomercraefter gets the bonus in General Dweomercraeft and the Green School, but not in any other casting area. The </t>
    </r>
    <r>
      <rPr>
        <b/>
        <i/>
        <sz val="8"/>
        <color rgb="FF000000"/>
        <rFont val="Calibri"/>
        <family val="2"/>
      </rPr>
      <t>Italicized</t>
    </r>
    <r>
      <rPr>
        <b/>
        <sz val="8"/>
        <color rgb="FF000000"/>
        <rFont val="Calibri"/>
        <family val="2"/>
      </rPr>
      <t xml:space="preserve"> entries reflect castings that are above the normal grade for that STEEP. Any persona may attempt those castings at the difficulty listed; Full Practitioners in their specialty will be 1 DR easier. Basically, you can try and cast beyond your norm, but it will be harder. No caster, including a Full Practitioner, can cast a spell with no valid DR listed; this means entries listed as ‘—’ are impossible at that STEEP level.</t>
    </r>
  </si>
  <si>
    <t>Base DR for Casting Grade (ALL OTHER K/S)*</t>
  </si>
  <si>
    <t>School</t>
  </si>
  <si>
    <t>Name</t>
  </si>
  <si>
    <t>Grade</t>
  </si>
  <si>
    <t>Dweomercræft - General</t>
  </si>
  <si>
    <t>Dalthor's Distraction Charm</t>
  </si>
  <si>
    <t>Trigger Effect Formula (Addenda)</t>
  </si>
  <si>
    <t>Dalthor's Good Luck Charm</t>
  </si>
  <si>
    <t>Dalthor’s Reservoir Link Formula</t>
  </si>
  <si>
    <t>Lasting Illumination Spell</t>
  </si>
  <si>
    <t>Daylight Cantrip:</t>
  </si>
  <si>
    <t>Negative Gravity Charm:</t>
  </si>
  <si>
    <t>Armor, Full Persona Heka Cantrip (Addenda):</t>
  </si>
  <si>
    <t>Wound, Spiritual Charm:</t>
  </si>
  <si>
    <t>Zeno’s Never-Ending Approach Cantrip:</t>
  </si>
  <si>
    <t>Morgana’s Chronic Stasis Spell:</t>
  </si>
  <si>
    <t>Dweomercræft - The Black School</t>
  </si>
  <si>
    <t>Acid Darts Cantrip:</t>
  </si>
  <si>
    <t>Batswings Cantrip:</t>
  </si>
  <si>
    <t>Marrow Flame Ritual:</t>
  </si>
  <si>
    <t>Nether Barrier Beast Cantrip:</t>
  </si>
  <si>
    <t>Dweomercræft - The Elemental School</t>
  </si>
  <si>
    <t>Watery Mist Cantrip:</t>
  </si>
  <si>
    <t>Windblast Charm (Correction):</t>
  </si>
  <si>
    <t>Crystal Shell Spell:</t>
  </si>
  <si>
    <t>Rings of Fire Charm</t>
  </si>
  <si>
    <t>Summon Elemental Aid Cantrip (addenda):</t>
  </si>
  <si>
    <t>Ash Cloud Cantrip:</t>
  </si>
  <si>
    <t>Sphere Of Vacuum Charm:</t>
  </si>
  <si>
    <t>Summon Inter-Elemental Cantrip:</t>
  </si>
  <si>
    <t>Dweomercræft - The Gray School</t>
  </si>
  <si>
    <t>Shadowflame Charm:</t>
  </si>
  <si>
    <t>Viscous Shadows Cantrip:</t>
  </si>
  <si>
    <t>Shadow Chaos Cantrip:</t>
  </si>
  <si>
    <t>Dweomercræft - The Green School</t>
  </si>
  <si>
    <t>Fungal Assault Cantrip:</t>
  </si>
  <si>
    <t>Ærth Animus Formula:</t>
  </si>
  <si>
    <t>Fertile Ground/Sterile Ground Cantrip:</t>
  </si>
  <si>
    <t>Dweomercræft - The White School</t>
  </si>
  <si>
    <t>Sunbeam Charm (Correction):</t>
  </si>
  <si>
    <t>Firebird Form Spell:</t>
  </si>
  <si>
    <t>Invulnerability to Demons, Devils, &amp; Fiends Formula</t>
  </si>
  <si>
    <t>Invulnerability to Netherbeings Formula</t>
  </si>
  <si>
    <t>Supernal Shells Guardian Cantrip:</t>
  </si>
  <si>
    <t>Priestcræft - Basic Tutelary</t>
  </si>
  <si>
    <t>Healing, Major Cantrip</t>
  </si>
  <si>
    <t>Priestcræft - The Ethos of Balance</t>
  </si>
  <si>
    <t>Edster's Average Charm</t>
  </si>
  <si>
    <t>Edster’s Improved Average Charm</t>
  </si>
  <si>
    <t>Summon Nemesis Ritual:</t>
  </si>
  <si>
    <t>Priestcræft - The Ethos of Gloomy Darkness</t>
  </si>
  <si>
    <t>Ficklefait Charm</t>
  </si>
  <si>
    <t>Dust Blight Ritual:</t>
  </si>
  <si>
    <t>Heka Eclipse Cantrip:</t>
  </si>
  <si>
    <t>Priestcræft - The Ethos of Sunlight</t>
  </si>
  <si>
    <t>Falan’s Better Day Charm</t>
  </si>
  <si>
    <t>Akhenaton’s Scourging Ray Cantrip:</t>
  </si>
  <si>
    <t>Heal Charm</t>
  </si>
  <si>
    <t>X</t>
  </si>
  <si>
    <t>Resurrection Ritual:</t>
  </si>
  <si>
    <t>Priestcræft - Ethos of Moonlight</t>
  </si>
  <si>
    <t>Lunar Scimitar Charm:</t>
  </si>
  <si>
    <t>Moon Halo Barrier Cantrip:</t>
  </si>
  <si>
    <t>Starwish Spell:</t>
  </si>
  <si>
    <t>Priestcræft - Ethos of Shadowy Darkness</t>
  </si>
  <si>
    <t>Summon Shadow Spirit Formula:</t>
  </si>
  <si>
    <t>Shadowkeep Ritual:</t>
  </si>
  <si>
    <t>Apotropaism</t>
  </si>
  <si>
    <t>Dalthor's Linkshear Cantrip</t>
  </si>
  <si>
    <t>Astrologist</t>
  </si>
  <si>
    <t>Meteor Summons Ritual:</t>
  </si>
  <si>
    <t>Conjuror</t>
  </si>
  <si>
    <t>Animate Wooden Objects Spell:</t>
  </si>
  <si>
    <t>Ghost of the Past RITUAL</t>
  </si>
  <si>
    <t>Exorcism</t>
  </si>
  <si>
    <t>Dalthor's Lightcandle CANTRIP</t>
  </si>
  <si>
    <t>Dalthor's Snuffcandle CANTRIP</t>
  </si>
  <si>
    <t>Dalthor’s Duality Ritual</t>
  </si>
  <si>
    <t>Necromancer</t>
  </si>
  <si>
    <t>Flyswarm Cantrip:</t>
  </si>
  <si>
    <t>Death’s Shroud Cantrip</t>
  </si>
  <si>
    <t>Liche Ritual:</t>
  </si>
  <si>
    <t>Spellsinger</t>
  </si>
  <si>
    <t>Discordant Note of Destruction Cantrip:</t>
  </si>
  <si>
    <t>Summoned Creature, Minion or Familiar</t>
  </si>
  <si>
    <t>Type</t>
  </si>
  <si>
    <t xml:space="preserve">S: </t>
  </si>
  <si>
    <t xml:space="preserve">P: </t>
  </si>
  <si>
    <t>AVERAGE</t>
  </si>
  <si>
    <t>M:</t>
  </si>
  <si>
    <t>MR:</t>
  </si>
  <si>
    <t>MRC:</t>
  </si>
  <si>
    <t>MRP:</t>
  </si>
  <si>
    <t>MRS:</t>
  </si>
  <si>
    <t>MM:</t>
  </si>
  <si>
    <t>MMC:</t>
  </si>
  <si>
    <t>MMP:</t>
  </si>
  <si>
    <t>MMS:</t>
  </si>
  <si>
    <t>PM:</t>
  </si>
  <si>
    <t>PMC:</t>
  </si>
  <si>
    <t>PMP:</t>
  </si>
  <si>
    <t>PMS:</t>
  </si>
  <si>
    <t>PN:</t>
  </si>
  <si>
    <t>PNC:</t>
  </si>
  <si>
    <t>PNP:</t>
  </si>
  <si>
    <t>PNS:</t>
  </si>
  <si>
    <t>SM:</t>
  </si>
  <si>
    <t>SMC:</t>
  </si>
  <si>
    <t>SMP:</t>
  </si>
  <si>
    <t>SMS:</t>
  </si>
  <si>
    <t>SP:</t>
  </si>
  <si>
    <t>SPC:</t>
  </si>
  <si>
    <t>SPP:</t>
  </si>
  <si>
    <t>SPS:</t>
  </si>
  <si>
    <t>Readied Castings</t>
  </si>
  <si>
    <t>Other Often Used Castings</t>
  </si>
  <si>
    <t>Magick Items</t>
  </si>
  <si>
    <t>Treasure</t>
  </si>
  <si>
    <t>Empyreal Guard</t>
  </si>
  <si>
    <t>Elemental</t>
  </si>
  <si>
    <t>Suneagle</t>
  </si>
  <si>
    <t>Giant Constrictor</t>
  </si>
  <si>
    <t>Flamey</t>
  </si>
  <si>
    <t>Profession/Race</t>
  </si>
  <si>
    <t>Planar</t>
  </si>
  <si>
    <t>Faerie Dragon</t>
  </si>
  <si>
    <t>SEC</t>
  </si>
  <si>
    <t>-</t>
  </si>
  <si>
    <t>Joss</t>
  </si>
  <si>
    <t>Heka</t>
  </si>
  <si>
    <t>Avoid</t>
  </si>
  <si>
    <t>Dodge</t>
  </si>
  <si>
    <t>MM</t>
  </si>
  <si>
    <t>MR</t>
  </si>
  <si>
    <t xml:space="preserve">P </t>
  </si>
  <si>
    <t>PM</t>
  </si>
  <si>
    <t>PN</t>
  </si>
  <si>
    <t>SM</t>
  </si>
  <si>
    <t>SP</t>
  </si>
  <si>
    <t>Susceptibility</t>
  </si>
  <si>
    <t>Iron x2, Disease</t>
  </si>
  <si>
    <t>Invulnerability</t>
  </si>
  <si>
    <t>Fire</t>
  </si>
  <si>
    <t>Non-magick</t>
  </si>
  <si>
    <t>non-mag,fire,P,D</t>
  </si>
  <si>
    <t>NonMag/Cold</t>
  </si>
  <si>
    <t>Weapon</t>
  </si>
  <si>
    <t>Short Sword</t>
  </si>
  <si>
    <t>Per element (x2)</t>
  </si>
  <si>
    <t>Talons (x2)</t>
  </si>
  <si>
    <t>Bite</t>
  </si>
  <si>
    <t>BAC</t>
  </si>
  <si>
    <t>3d6 +7</t>
  </si>
  <si>
    <t>5d6</t>
  </si>
  <si>
    <t>4d3</t>
  </si>
  <si>
    <t>2d6</t>
  </si>
  <si>
    <t>Spear</t>
  </si>
  <si>
    <t>Beak</t>
  </si>
  <si>
    <t>Constrictor</t>
  </si>
  <si>
    <t>7d6 Fire</t>
  </si>
  <si>
    <t>7d3</t>
  </si>
  <si>
    <t>3d6</t>
  </si>
  <si>
    <t>Item</t>
  </si>
  <si>
    <t>Shield absorbs 70 PD</t>
  </si>
  <si>
    <t>Breath:</t>
  </si>
  <si>
    <t>1 rod distant</t>
  </si>
  <si>
    <t>6d6 Cold</t>
  </si>
  <si>
    <t>Power/Ability</t>
  </si>
  <si>
    <t>Light eq to Zoroaster's</t>
  </si>
  <si>
    <t>Converse with Animals</t>
  </si>
  <si>
    <t>Noonsblaze Cantrip</t>
  </si>
  <si>
    <t>Darkvision (As daylight)</t>
  </si>
  <si>
    <t>Flight (no limits)</t>
  </si>
  <si>
    <t>3d3 fire within 3' rad</t>
  </si>
  <si>
    <t>Heal Self (1d6 PD / BT)</t>
  </si>
  <si>
    <t>Hyperaesthesia</t>
  </si>
  <si>
    <t>Evil must make morale</t>
  </si>
  <si>
    <t>check vs. MRC or flee</t>
  </si>
  <si>
    <t>SMCap</t>
  </si>
  <si>
    <t>SMPow</t>
  </si>
  <si>
    <t>SMSpd</t>
  </si>
  <si>
    <t>SPCap</t>
  </si>
  <si>
    <t>SPPow</t>
  </si>
  <si>
    <t>SPSpd</t>
  </si>
  <si>
    <t>PNSpd</t>
  </si>
  <si>
    <t>PNPow</t>
  </si>
  <si>
    <t>PNCap</t>
  </si>
  <si>
    <t>PMSpd</t>
  </si>
  <si>
    <t>PMPow</t>
  </si>
  <si>
    <t>{Mcap</t>
  </si>
  <si>
    <t>MRSpd</t>
  </si>
  <si>
    <t>MRPow</t>
  </si>
  <si>
    <t>MRCap</t>
  </si>
  <si>
    <t>MMSpd</t>
  </si>
  <si>
    <t>MMPow</t>
  </si>
  <si>
    <t>MMCap</t>
  </si>
  <si>
    <t>Move</t>
  </si>
  <si>
    <t>Equipment/Gear</t>
  </si>
  <si>
    <t>(Use this space to build your K/S Areas or keep notes on things like income)</t>
  </si>
  <si>
    <t>BUC Value</t>
  </si>
  <si>
    <t>AP</t>
  </si>
  <si>
    <t>Weight(lbs)</t>
  </si>
  <si>
    <t>Spidersilk Armor</t>
  </si>
  <si>
    <t>P/C</t>
  </si>
  <si>
    <t>Blunt/Impact</t>
  </si>
  <si>
    <t xml:space="preserve">One-half </t>
  </si>
  <si>
    <t xml:space="preserve">Three-quarters </t>
  </si>
  <si>
    <t xml:space="preserve">Full </t>
  </si>
  <si>
    <t xml:space="preserve">Spidersilk Reinforced </t>
  </si>
  <si>
    <t>Combat Tables</t>
  </si>
  <si>
    <t>Actions/Reactions are:</t>
  </si>
  <si>
    <t>֎Attack</t>
  </si>
  <si>
    <t>֎Disengage</t>
  </si>
  <si>
    <t>֎Dash</t>
  </si>
  <si>
    <t>֎Help</t>
  </si>
  <si>
    <t>֎Casting</t>
  </si>
  <si>
    <t>֎Dodge/Parry</t>
  </si>
  <si>
    <t>֎Hold Action</t>
  </si>
  <si>
    <t>֎First Aid</t>
  </si>
  <si>
    <t>Attacks/Casting</t>
  </si>
  <si>
    <t>Special Failure</t>
  </si>
  <si>
    <t>Failure</t>
  </si>
  <si>
    <t>Advantage</t>
  </si>
  <si>
    <t>Use the next easiest Difficulty Rating</t>
  </si>
  <si>
    <t>Minimal hit</t>
  </si>
  <si>
    <t>Disadvantage</t>
  </si>
  <si>
    <t>Use the next harder Difficulty Rating</t>
  </si>
  <si>
    <t>Normal Hit</t>
  </si>
  <si>
    <t>Special Success</t>
  </si>
  <si>
    <t>Special Success (1 or 2)</t>
  </si>
  <si>
    <t xml:space="preserve">Apply full rollable damage + bonuses </t>
  </si>
  <si>
    <t>Special Fail - Physical Attack (99 or 00)</t>
  </si>
  <si>
    <t>Roll</t>
  </si>
  <si>
    <t>Result</t>
  </si>
  <si>
    <t>Attack misses</t>
  </si>
  <si>
    <t>Avoidance (%)</t>
  </si>
  <si>
    <t>01-25</t>
  </si>
  <si>
    <t>Delay. No further attacks for 1-3 CTs</t>
  </si>
  <si>
    <t>26-45</t>
  </si>
  <si>
    <t>Weapon damaged. No further use until repaired</t>
  </si>
  <si>
    <t>46-60</t>
  </si>
  <si>
    <t>Weapon broken</t>
  </si>
  <si>
    <t>61-75</t>
  </si>
  <si>
    <t>Accidentally struck an ally</t>
  </si>
  <si>
    <t>76-90</t>
  </si>
  <si>
    <t>Weapon damaged and wrong person hit</t>
  </si>
  <si>
    <t>Dodge (%)</t>
  </si>
  <si>
    <t>91 +</t>
  </si>
  <si>
    <t>Weapon broken and wrong person hit</t>
  </si>
  <si>
    <t>(PMS + PNS) -32</t>
  </si>
  <si>
    <t>Casting fails</t>
  </si>
  <si>
    <t>01-15</t>
  </si>
  <si>
    <t>Casting fails No further attacks for 1-3 CTs</t>
  </si>
  <si>
    <t>BAC of weapon used</t>
  </si>
  <si>
    <t>16-30</t>
  </si>
  <si>
    <t>Heka short.  No casting for 1 AT, caster takes 1d6 PD</t>
  </si>
  <si>
    <t>31-45</t>
  </si>
  <si>
    <t xml:space="preserve">Caster struck wrong target </t>
  </si>
  <si>
    <t>Serious failure. Double Heka used, 2d6 PD to caster</t>
  </si>
  <si>
    <t>61-80</t>
  </si>
  <si>
    <t>Serious casting failure and wrong person hit</t>
  </si>
  <si>
    <t>81 +</t>
  </si>
  <si>
    <t>Complete backfire, caster suffers full effect</t>
  </si>
  <si>
    <t xml:space="preserve">High STEEP </t>
  </si>
  <si>
    <t xml:space="preserve">Damage Bonus for </t>
  </si>
  <si>
    <t>High PMPow</t>
  </si>
  <si>
    <t>Bonus</t>
  </si>
  <si>
    <t>41-45</t>
  </si>
  <si>
    <t>46-50</t>
  </si>
  <si>
    <t>51-55</t>
  </si>
  <si>
    <t>56-60</t>
  </si>
  <si>
    <t>61-65</t>
  </si>
  <si>
    <t>66-70</t>
  </si>
  <si>
    <t>71-75</t>
  </si>
  <si>
    <t>76-80</t>
  </si>
  <si>
    <t>81-85</t>
  </si>
  <si>
    <t>86-90</t>
  </si>
  <si>
    <t>Moderate</t>
  </si>
  <si>
    <t>Very Difficult</t>
  </si>
  <si>
    <t>Special Fail - Heka-based Atk (99 or 00)</t>
  </si>
  <si>
    <t>Damage Bonus for</t>
  </si>
  <si>
    <t xml:space="preserve">In any order, HP may perform the following: </t>
  </si>
  <si>
    <t xml:space="preserve">Move/Action (q.v.)/Activity (use object)/Bonus </t>
  </si>
  <si>
    <t xml:space="preserve">Roll Initiative for each creature: </t>
  </si>
  <si>
    <t>1d10 +/- any mod. Lowest goes first</t>
  </si>
  <si>
    <t>Determine Surprise. Roll d% for @ group.</t>
  </si>
  <si>
    <t xml:space="preserve"> Lowest wins / OR Ambush via Criminal Activities</t>
  </si>
  <si>
    <t>Optional -</t>
  </si>
  <si>
    <t>d% Roll*</t>
  </si>
  <si>
    <t>Area</t>
  </si>
  <si>
    <t>Ultra-Vital</t>
  </si>
  <si>
    <t>x4</t>
  </si>
  <si>
    <t>Super-Vital</t>
  </si>
  <si>
    <t>x3</t>
  </si>
  <si>
    <t>26-40</t>
  </si>
  <si>
    <t>x2</t>
  </si>
  <si>
    <t>41-00</t>
  </si>
  <si>
    <t>Non-vital</t>
  </si>
  <si>
    <t>x1</t>
  </si>
  <si>
    <t>01-10</t>
  </si>
  <si>
    <t>11-25</t>
  </si>
  <si>
    <t>Strike Location Table</t>
  </si>
  <si>
    <t>Damage from physical attacks.</t>
  </si>
  <si>
    <t>Damage from Heka-Based attacks.</t>
  </si>
  <si>
    <t xml:space="preserve">Each person goes in order of roll lowest to highest. Ties go </t>
  </si>
  <si>
    <t>Rolls for success &amp; effects are at the end of each CT.</t>
  </si>
  <si>
    <t>missiles and readied magick items. Castings may be begun, but</t>
  </si>
  <si>
    <t>Success - If target cannot Dodge or Parry, go to Step 6</t>
  </si>
  <si>
    <t>Roll d% vs BAC or target K/S - modified by DR or Joss</t>
  </si>
  <si>
    <t>Dmg Mod</t>
  </si>
  <si>
    <t>Avoidance</t>
  </si>
  <si>
    <t>Difficult</t>
  </si>
  <si>
    <t>Parry (%)</t>
  </si>
  <si>
    <t xml:space="preserve">Roll Strike Location &amp; multiply total </t>
  </si>
  <si>
    <t>damage by modifier</t>
  </si>
  <si>
    <t xml:space="preserve">Subtract applicable armor - result is </t>
  </si>
  <si>
    <t>damage to target</t>
  </si>
  <si>
    <t xml:space="preserve">Spidersilk Armor </t>
  </si>
  <si>
    <t>Fae-silk Armor</t>
  </si>
  <si>
    <t>Fae Silk Armor</t>
  </si>
  <si>
    <t>Move:</t>
  </si>
  <si>
    <t>Damage</t>
  </si>
  <si>
    <t>Items</t>
  </si>
  <si>
    <t>UNIFIED</t>
  </si>
  <si>
    <t>Fae-silk is a form of very tough, yet light, flexible armor. The innermost layer is comprised of Mynon petals treated with a liquid mixture, creating a cloth similar to silk, but significantly stronger and lighter. Mynon silk does not take dye. Colors, from common to rare, include ivory, pale peach, pink-white, pale fuchsia and pale lavender. The latter is typically reserved for nobility -- SEC 7 and up. Clothing made from the silk is cooler, smoother and more lustrous than silk</t>
  </si>
  <si>
    <t xml:space="preserve">This armor is coarsely woven stuff not unlike the loose weave of burlap, for example, although it is a bit thicker.  The armor must be loose fitting and have padding underneath to absorb the shock of its yielding under pressure. </t>
  </si>
  <si>
    <t>*Equivalent to Studded Leather</t>
  </si>
  <si>
    <t xml:space="preserve">Spidersilk armor worn under other armor is impractical because of the necessity of it being loose and free to move about. However, with some light, stiff protection underneath, hardened leather for example,  its value against shock improves significantly, thus: </t>
  </si>
  <si>
    <t>*Equivalent to Chain Mail</t>
  </si>
  <si>
    <t>Depending on the type of silk used, Spidersilk armor may have additional heka-engendered properties. For example, silk from a phase spider adds a displacement effect, causing a decreasing chance of missing the target until the attacker realizes and compensates for the effect.</t>
  </si>
  <si>
    <t>Cost of a suit is about 15,000 BUCs outside the Fae realm, but much less in Phaeree</t>
  </si>
  <si>
    <t>The cost of a suit is about the same as a suit of fine  chain mail ($10,000)</t>
  </si>
  <si>
    <t>Tunic</t>
  </si>
  <si>
    <t>Tunic &amp; Pants</t>
  </si>
  <si>
    <t>Half is tunic; 3/4 is tunic and pants; full includes the helmet, possibly with a buckler or small shield.</t>
  </si>
  <si>
    <t>With helm &amp; buckler</t>
  </si>
  <si>
    <t>Availability of Stones by Quality</t>
  </si>
  <si>
    <t>d%</t>
  </si>
  <si>
    <t>Quality</t>
  </si>
  <si>
    <t>Class</t>
  </si>
  <si>
    <t>Description</t>
  </si>
  <si>
    <t>Base Value*</t>
  </si>
  <si>
    <t>Regen**</t>
  </si>
  <si>
    <t>DR</t>
  </si>
  <si>
    <t>01-04</t>
  </si>
  <si>
    <t>Poor</t>
  </si>
  <si>
    <t>Ornamental</t>
  </si>
  <si>
    <t>0.25</t>
  </si>
  <si>
    <t>05-20</t>
  </si>
  <si>
    <t>Below Avg</t>
  </si>
  <si>
    <t>Fancy</t>
  </si>
  <si>
    <t>0.5</t>
  </si>
  <si>
    <t>1</t>
  </si>
  <si>
    <t>21-72</t>
  </si>
  <si>
    <t>Semi-Precious</t>
  </si>
  <si>
    <t>73-88</t>
  </si>
  <si>
    <t>Above Avg</t>
  </si>
  <si>
    <t>Precious</t>
  </si>
  <si>
    <t>2</t>
  </si>
  <si>
    <t>89-96</t>
  </si>
  <si>
    <t>Exceptional</t>
  </si>
  <si>
    <t>Gems</t>
  </si>
  <si>
    <t>4</t>
  </si>
  <si>
    <t>97-00</t>
  </si>
  <si>
    <t>Unsurpassed</t>
  </si>
  <si>
    <t>Jewels</t>
  </si>
  <si>
    <t>8</t>
  </si>
  <si>
    <t>* Per carat. The average unprepared stone holds 1 Heka per carat</t>
  </si>
  <si>
    <t>** Per carat per day</t>
  </si>
  <si>
    <t>Variations</t>
  </si>
  <si>
    <t>01-70</t>
  </si>
  <si>
    <t>Uncut (rough)</t>
  </si>
  <si>
    <t>71-98</t>
  </si>
  <si>
    <t>Cut (finished)</t>
  </si>
  <si>
    <t>99-00</t>
  </si>
  <si>
    <t>Cut (special)*</t>
  </si>
  <si>
    <t>infused and/or enchanted</t>
  </si>
  <si>
    <t>Gem Size Table</t>
  </si>
  <si>
    <t>Size</t>
  </si>
  <si>
    <t>Carats</t>
  </si>
  <si>
    <t>Uncut</t>
  </si>
  <si>
    <t>Cut</t>
  </si>
  <si>
    <t>Prep</t>
  </si>
  <si>
    <t>Very Small</t>
  </si>
  <si>
    <t>.25 or less</t>
  </si>
  <si>
    <t>Small</t>
  </si>
  <si>
    <t>.5 or less</t>
  </si>
  <si>
    <t>Normal</t>
  </si>
  <si>
    <t>2-7  (d6+1)</t>
  </si>
  <si>
    <t>Large</t>
  </si>
  <si>
    <t>6-11  (d6+7)</t>
  </si>
  <si>
    <t>Very Large</t>
  </si>
  <si>
    <t>New and Modified Castings - From Mythus 2025 (NOT YET IN PLAY EXCEPT CORRECTIONS)</t>
  </si>
  <si>
    <t>Chance to Avoid</t>
  </si>
  <si>
    <t>Avoidance Type</t>
  </si>
  <si>
    <t>Physical</t>
  </si>
  <si>
    <t xml:space="preserve">Mental </t>
  </si>
  <si>
    <t xml:space="preserve">Spiritual </t>
  </si>
  <si>
    <t>PMSpd+PNSpd</t>
  </si>
  <si>
    <t>MMSpd+MRSpd</t>
  </si>
  <si>
    <t>SMSpd+SPSpd</t>
  </si>
  <si>
    <t>Type of Attack/Hazard</t>
  </si>
  <si>
    <t>Physical traps or pitfalls</t>
  </si>
  <si>
    <t>If HPs have surprise, they can</t>
  </si>
  <si>
    <t>avoid the encounter completely</t>
  </si>
  <si>
    <t>by rolling against  PMSpd+PNSpd</t>
  </si>
  <si>
    <t>Gem Table</t>
  </si>
  <si>
    <t>Move: yds/BT</t>
  </si>
  <si>
    <t>yds/CT</t>
  </si>
  <si>
    <t>AP/S</t>
  </si>
  <si>
    <t>AP/X</t>
  </si>
  <si>
    <t>BUCs</t>
  </si>
  <si>
    <t>Other</t>
  </si>
  <si>
    <t xml:space="preserve">   JM USE ONLY - This Feeds Backwards</t>
  </si>
  <si>
    <t xml:space="preserve">   ***  NOTE  - This is currently a test  ***</t>
  </si>
  <si>
    <t>L33</t>
  </si>
  <si>
    <t>O33</t>
  </si>
  <si>
    <t>T33</t>
  </si>
  <si>
    <t>AP/Gs</t>
  </si>
  <si>
    <t>AP/Ss</t>
  </si>
  <si>
    <t>AP/Xs</t>
  </si>
  <si>
    <r>
      <t>MOD</t>
    </r>
    <r>
      <rPr>
        <sz val="9"/>
        <rFont val="Mirage"/>
        <family val="1"/>
      </rPr>
      <t>**</t>
    </r>
  </si>
  <si>
    <t>[see instructions at bottom of page]</t>
  </si>
  <si>
    <t>Instructions: Fill in these sheets as normal. Information is linked to the SUMMARY sheet, which calculates modified STEEP rolls</t>
  </si>
  <si>
    <t xml:space="preserve"> Roll damage dice and apply bonuses, then…</t>
  </si>
  <si>
    <t xml:space="preserve">Determine if subject may avoid some or all of the damage due to protective Castings  or items. </t>
  </si>
  <si>
    <t>Reduce the damage by the amount of the protective and apply the rest.</t>
  </si>
  <si>
    <t xml:space="preserve">In addition to avoiding an encounter during initiative, some hazards may be avoided, provided </t>
  </si>
  <si>
    <t xml:space="preserve">the HP is alert to the potential danger, or otherwise using caution (such as searching for traps, etc.) </t>
  </si>
  <si>
    <t xml:space="preserve">The Avoidance roll is a percentage chance based on the HP's CATEGORY Spd Attributes, subject </t>
  </si>
  <si>
    <t>to a DR adjustment solely at the JM's discretion. Note that Avoidance cannot be used in response</t>
  </si>
  <si>
    <t>the JM will have the player roll using  the appropriate Attributes from the table below:</t>
  </si>
  <si>
    <t>to a targeted attack, such as Mental/Spiritual Combat. To use an Avoidance roll in this manner,</t>
  </si>
  <si>
    <t>Joss +/- 1 step/pt</t>
  </si>
  <si>
    <t>Studyable</t>
  </si>
  <si>
    <t>Not in spellbook</t>
  </si>
  <si>
    <t>K/S Area:</t>
  </si>
  <si>
    <t>STEEP:</t>
  </si>
  <si>
    <t>Translate Script FORMULA</t>
  </si>
  <si>
    <t>Negative Gravity CHARM</t>
  </si>
  <si>
    <t>7 Total</t>
  </si>
  <si>
    <t>10 Total</t>
  </si>
  <si>
    <t>11 Total</t>
  </si>
  <si>
    <t>Abram‘s Elem Manipulation FORMULA</t>
  </si>
  <si>
    <t>Commune w/ Nature Spirits FORMULA</t>
  </si>
  <si>
    <t>Invuln to Demons, Devils, &amp; Fiends FRM</t>
  </si>
  <si>
    <t>da Vinci‘s Temporal Distort FORMULA</t>
  </si>
  <si>
    <t>Sanctification RITUAL</t>
  </si>
  <si>
    <t>12 Total</t>
  </si>
  <si>
    <t>Astral Powder FORMULA</t>
  </si>
  <si>
    <t>Aethereality Powder FORMULA</t>
  </si>
  <si>
    <t>Blindness Gas FORMULA</t>
  </si>
  <si>
    <t>Elemental Form RITUAL</t>
  </si>
  <si>
    <t>Weakness Gas FORMULA</t>
  </si>
  <si>
    <t>Serum Of Elemental Command FRM</t>
  </si>
  <si>
    <t>Universal Glue FORMULA</t>
  </si>
  <si>
    <t>Steelskin Elixir FORMULA</t>
  </si>
  <si>
    <t>Protection fr Venomous creatures SPELL</t>
  </si>
  <si>
    <t>Unseen Sentinel SPELL</t>
  </si>
  <si>
    <t>3 Total</t>
  </si>
  <si>
    <t>Held Effect RITUAL</t>
  </si>
  <si>
    <t>9 Total</t>
  </si>
  <si>
    <t>Imbue remains with strength FRM</t>
  </si>
  <si>
    <t>Command skeletal Company FRM</t>
  </si>
  <si>
    <t>Zeno’s Never-Ending Approach CANTRIP</t>
  </si>
  <si>
    <t>Morgana’s Chronic Stasis SPELL</t>
  </si>
  <si>
    <t>Acid Darts CANTRIP</t>
  </si>
  <si>
    <t>Batswings CANTRIP</t>
  </si>
  <si>
    <t>Marrow Flame RITUAL</t>
  </si>
  <si>
    <t>Nether Barrier Beast CANTRIP</t>
  </si>
  <si>
    <t>Watery Mist CANTRIP</t>
  </si>
  <si>
    <t>Crystal Shell SPELL</t>
  </si>
  <si>
    <t>Ash Cloud CANTRIP</t>
  </si>
  <si>
    <t>Sphere of Vacuum CHARM</t>
  </si>
  <si>
    <t>Summon Inter-Elemental CANTRIP</t>
  </si>
  <si>
    <t>Shadowflame CHARM</t>
  </si>
  <si>
    <t>Viscous Shadows CANTRIP</t>
  </si>
  <si>
    <t>Shadow Chaos CANTRIP</t>
  </si>
  <si>
    <t>Fungal Assault CANTRIP</t>
  </si>
  <si>
    <t>Aerth Animus FORMULA</t>
  </si>
  <si>
    <t>Fertile/Sterile Ground CANTRIP</t>
  </si>
  <si>
    <t>Firebird Form SPELL</t>
  </si>
  <si>
    <t>Invuln to Netherbeings FORMULA</t>
  </si>
  <si>
    <t>Supernal Shells Guardian CANTRIP</t>
  </si>
  <si>
    <t>Summon Nemesis RITUAL</t>
  </si>
  <si>
    <t>Dust Blight RITUAL</t>
  </si>
  <si>
    <t>Heka Eclipse CANTRIP</t>
  </si>
  <si>
    <t>The Black Wind CANTRIP</t>
  </si>
  <si>
    <t>Lunar Scimitar CHARM</t>
  </si>
  <si>
    <t>Moon Halo Barrier CANTRIP</t>
  </si>
  <si>
    <t>Starwish SPELL</t>
  </si>
  <si>
    <t>Summon Shadow Spirit FORMULA</t>
  </si>
  <si>
    <t>Regeneration RITUAL</t>
  </si>
  <si>
    <t>Constraint CHARM</t>
  </si>
  <si>
    <t>Lunarbeam SPELL</t>
  </si>
  <si>
    <t>Alter Aura RITUAL</t>
  </si>
  <si>
    <t>Shadowveils SPELL</t>
  </si>
  <si>
    <t>Starlight FORMULA</t>
  </si>
  <si>
    <t>Shadowkeep RITUAL</t>
  </si>
  <si>
    <t>Falans Better Day CHARM</t>
  </si>
  <si>
    <t>Akhenaton’s Scourging Ray CANTRIP</t>
  </si>
  <si>
    <t>Resurrection RITUAL</t>
  </si>
  <si>
    <t>Meteor Summons RITUAL</t>
  </si>
  <si>
    <t>Animate Wooden Objects SPELL</t>
  </si>
  <si>
    <t>Flyswarm CANTRIP</t>
  </si>
  <si>
    <t>Death's Shroud CANTRIP</t>
  </si>
  <si>
    <t>Liche RITUAL</t>
  </si>
  <si>
    <t>Discordant Note of Destructn CANTRIP</t>
  </si>
  <si>
    <t>Enhanced Solvent RITUAL</t>
  </si>
  <si>
    <t>Glow Powder FORMULA</t>
  </si>
  <si>
    <t>Enhanced Crystal RITUAL</t>
  </si>
  <si>
    <t>Hay Fever Powder FORMULA</t>
  </si>
  <si>
    <t>Liquid Light FORMULA</t>
  </si>
  <si>
    <t>Poison Dust FORMULA</t>
  </si>
  <si>
    <t>Potion of Maximus FORMULA</t>
  </si>
  <si>
    <t>Potion of Minimus FORMULA</t>
  </si>
  <si>
    <t>Wakeful Solution FORMULA</t>
  </si>
  <si>
    <t>Alter Respiration FORMULA</t>
  </si>
  <si>
    <t>Imbue RITUAL</t>
  </si>
  <si>
    <t>Diamond Eyes Gas FORMULA</t>
  </si>
  <si>
    <t>Distillate FORMULA</t>
  </si>
  <si>
    <t>Neutralize Gravity FORMULA</t>
  </si>
  <si>
    <t>Reflex Boost CANTRIP</t>
  </si>
  <si>
    <t>Transmute Metal SPELL</t>
  </si>
  <si>
    <t>and Studyable Castings in your tomes</t>
  </si>
  <si>
    <t>16 Total</t>
  </si>
  <si>
    <t>13 Total</t>
  </si>
  <si>
    <t>21 Total</t>
  </si>
  <si>
    <t>15 Total</t>
  </si>
  <si>
    <t>Grade X Castings</t>
  </si>
  <si>
    <t>Grade I Castings</t>
  </si>
  <si>
    <t>Grade II Castings</t>
  </si>
  <si>
    <t>Grade III Castings</t>
  </si>
  <si>
    <t>Grade IV Castings</t>
  </si>
  <si>
    <t>Grade V Castings</t>
  </si>
  <si>
    <t>Grade VI Castings</t>
  </si>
  <si>
    <t>Grade VII Castings</t>
  </si>
  <si>
    <t>Grade VIII Castings</t>
  </si>
  <si>
    <t>Grade IX Castings</t>
  </si>
  <si>
    <t>9 Total Castings</t>
  </si>
  <si>
    <t>Total Castings</t>
  </si>
  <si>
    <r>
      <rPr>
        <b/>
        <i/>
        <sz val="8"/>
        <color rgb="FF00B050"/>
        <rFont val="Mirage"/>
        <family val="1"/>
      </rPr>
      <t>Modified</t>
    </r>
    <r>
      <rPr>
        <b/>
        <i/>
        <sz val="8"/>
        <color rgb="FF7030A0"/>
        <rFont val="Mirage"/>
        <family val="1"/>
      </rPr>
      <t xml:space="preserve"> * </t>
    </r>
    <r>
      <rPr>
        <b/>
        <i/>
        <sz val="8"/>
        <color rgb="FF0070C0"/>
        <rFont val="Mirage"/>
        <family val="1"/>
      </rPr>
      <t>Mythus 2025</t>
    </r>
    <r>
      <rPr>
        <b/>
        <i/>
        <sz val="8"/>
        <color rgb="FF7030A0"/>
        <rFont val="Mirage"/>
        <family val="1"/>
      </rPr>
      <t xml:space="preserve"> * Other Sources</t>
    </r>
  </si>
  <si>
    <t>New and Modified Castings are listed</t>
  </si>
  <si>
    <t>with color coding, indicating their source</t>
  </si>
  <si>
    <t>Use a color background for Known, Recallable</t>
  </si>
  <si>
    <t>VALUE*</t>
  </si>
  <si>
    <t>Quantity</t>
  </si>
  <si>
    <t>Bit</t>
  </si>
  <si>
    <t xml:space="preserve">Iron (I) </t>
  </si>
  <si>
    <t>Bob</t>
  </si>
  <si>
    <t>Tin (T)</t>
  </si>
  <si>
    <t>Dime</t>
  </si>
  <si>
    <t xml:space="preserve">Zinc (Z) </t>
  </si>
  <si>
    <t>Corter</t>
  </si>
  <si>
    <t>Brass (Br)</t>
  </si>
  <si>
    <t>Shiny</t>
  </si>
  <si>
    <t>Nickel (N)</t>
  </si>
  <si>
    <t>BUC</t>
  </si>
  <si>
    <t xml:space="preserve">Bronze (B) </t>
  </si>
  <si>
    <t>Nib</t>
  </si>
  <si>
    <t>Copper (C)</t>
  </si>
  <si>
    <t>Shard</t>
  </si>
  <si>
    <t>Silver (S)</t>
  </si>
  <si>
    <t>Taol</t>
  </si>
  <si>
    <t>Electrum (E)</t>
  </si>
  <si>
    <t>Dragon</t>
  </si>
  <si>
    <t>Gold (G)</t>
  </si>
  <si>
    <t>Sun</t>
  </si>
  <si>
    <t xml:space="preserve">Platinum (P) </t>
  </si>
  <si>
    <t>Crescent</t>
  </si>
  <si>
    <t xml:space="preserve">Adamantine (A) </t>
  </si>
  <si>
    <t>Seelies</t>
  </si>
  <si>
    <t>Mithral (Mi)</t>
  </si>
  <si>
    <t>Unseelies</t>
  </si>
  <si>
    <t xml:space="preserve">Oricalcum (O) </t>
  </si>
  <si>
    <t>Total:</t>
  </si>
  <si>
    <t xml:space="preserve">Hekalite (H) </t>
  </si>
  <si>
    <t>COIN TO BUC CONVERTER</t>
  </si>
  <si>
    <t>Enter number of ea. Coin type for BUC Value &amp; Weight</t>
  </si>
  <si>
    <t>Coin Values Table (Common Coins in Bold)</t>
  </si>
  <si>
    <t>Coin &amp; Metal - Value and Properties</t>
  </si>
  <si>
    <t>VALUE</t>
  </si>
  <si>
    <t>PROPERTIES &amp; AVAILABILITY</t>
  </si>
  <si>
    <t>Very Common, also found in 5 lb ingots</t>
  </si>
  <si>
    <t>Very Common</t>
  </si>
  <si>
    <t>Common</t>
  </si>
  <si>
    <t>Uncommon</t>
  </si>
  <si>
    <t>Rare</t>
  </si>
  <si>
    <t>Principal Armor of the Fae</t>
  </si>
  <si>
    <t xml:space="preserve">Verdigris Colored - Possesses magic resistant properties, can nullify the use of magic </t>
  </si>
  <si>
    <t>Used for H-F, able to absorb &amp; store magickal energy from natural surroundings</t>
  </si>
  <si>
    <t>Viridium (V)</t>
  </si>
  <si>
    <t>A Purplish-colored Alloy forged using thallium - Poisonous blade capable of infecting</t>
  </si>
  <si>
    <t>Star Metal (M)</t>
  </si>
  <si>
    <t>Stromium - Pitch black metal found in meteorites, capable of storing and releasing Heka</t>
  </si>
  <si>
    <t>Chromium (Ch)</t>
  </si>
  <si>
    <t>Opaque metal capable of being smelted into Glassteel</t>
  </si>
  <si>
    <t>Elementium (El)</t>
  </si>
  <si>
    <t>Preternatural metal able to absorb elemental energy - used for Elemental Infusion</t>
  </si>
  <si>
    <t>Soulsteel (Ss)</t>
  </si>
  <si>
    <t>Mythallarium</t>
  </si>
  <si>
    <t>*</t>
  </si>
  <si>
    <t>Alloy made from the outer planes. Used as the source of energy for Netheril's floating cities</t>
  </si>
  <si>
    <t>Known Castings List for</t>
  </si>
  <si>
    <t>Casting</t>
  </si>
  <si>
    <t>T/A/D</t>
  </si>
  <si>
    <t>Recallable Castings List for</t>
  </si>
  <si>
    <t xml:space="preserve">Name </t>
  </si>
  <si>
    <t>DMC, General</t>
  </si>
  <si>
    <t>Physical Armor on  1:1 pt heka cost</t>
  </si>
  <si>
    <t>Allows 1 creature or object to survive collisions</t>
  </si>
  <si>
    <t>Detect the presence and general nature of Heka</t>
  </si>
  <si>
    <t>Dispels a casting, and if more than one, the lowest first</t>
  </si>
  <si>
    <t>Lockopen Charm</t>
  </si>
  <si>
    <t>Open non-magickal locks, bolts, etc.</t>
  </si>
  <si>
    <t>initiative -10, doubles movement and atks</t>
  </si>
  <si>
    <t>move along any non-slippery surface</t>
  </si>
  <si>
    <t>Trigger Effect Formula</t>
  </si>
  <si>
    <t>set a casting to trigger or trigger held effect</t>
  </si>
  <si>
    <t>Vranx's Annoying Itch Charm</t>
  </si>
  <si>
    <t>causes cumulative +1 penalty to init &amp; KS rolls</t>
  </si>
  <si>
    <t>Wickaflame</t>
  </si>
  <si>
    <t>ignites one combustible per 10 STEEP</t>
  </si>
  <si>
    <t>Circle of Magic RITUAL</t>
  </si>
  <si>
    <t xml:space="preserve">Creates Inclusive or Exclusive pentacle </t>
  </si>
  <si>
    <t>Dart of energy that does 2d6 +1 PD/10 STEEP</t>
  </si>
  <si>
    <t>Halefellow Charm</t>
  </si>
  <si>
    <t>Holds a casting, released during init turn</t>
  </si>
  <si>
    <t>Levitate Cantrip</t>
  </si>
  <si>
    <t>rise/descend 10'/CT, 10lbs per STEEP</t>
  </si>
  <si>
    <t>Maximus Spell</t>
  </si>
  <si>
    <t>increase size of single person, creature or obj</t>
  </si>
  <si>
    <t>Minimus Spell</t>
  </si>
  <si>
    <t>decrease size of one person, creature or obj</t>
  </si>
  <si>
    <t>Prolongation Charm</t>
  </si>
  <si>
    <t>double either Time or AOE of another casting</t>
  </si>
  <si>
    <t>Gives recipient an Avoidance roll vs attack</t>
  </si>
  <si>
    <t>Flight Cantrip</t>
  </si>
  <si>
    <t>Fly for 1d3+2 ATs +1 BT/STEEP (30+ minutes)</t>
  </si>
  <si>
    <t>1d6+2 per dart /10 Heka @ up to 1/10 STEEP</t>
  </si>
  <si>
    <t>Heka Armor on  1:1 pt heka cost</t>
  </si>
  <si>
    <t>Send brief message or visual to another person</t>
  </si>
  <si>
    <t>Armor, Full Personal CANTRIP</t>
  </si>
  <si>
    <t>Reduces Heka dmg of P/M/S attack forms</t>
  </si>
  <si>
    <t>5d6 dmg to 660' rng, +1d6/10 Heka,10d6max</t>
  </si>
  <si>
    <t>Object Teleportation Formula</t>
  </si>
  <si>
    <t>Transport non-living items to or from another location</t>
  </si>
  <si>
    <t>all direct phys attacks to reverse on attacker</t>
  </si>
  <si>
    <t>Explosive blast of 1d6+2 per 20 Heka (6d6+12 max)</t>
  </si>
  <si>
    <t>Absorbs P and Heka attacks - 6d6+up to MR in extra pts</t>
  </si>
  <si>
    <t>reduce cast time of another casting by two steps</t>
  </si>
  <si>
    <t>Joins two castings, casting time is that of longest</t>
  </si>
  <si>
    <t>Radius of protection from castings</t>
  </si>
  <si>
    <t>teleport instantly to striking distance</t>
  </si>
  <si>
    <t>Heka Beam CANTRIP</t>
  </si>
  <si>
    <t>1' beam for 8d6 + 1d6/10 Heka (max 16d6)</t>
  </si>
  <si>
    <t>Setne's Reverse Casting CANTRIP</t>
  </si>
  <si>
    <t>Causes all castings or powers to reverse on the attacker</t>
  </si>
  <si>
    <t>DMC, Black</t>
  </si>
  <si>
    <t>on failed roll vs MR, 1/10 STEEP will flee</t>
  </si>
  <si>
    <t>temp paralysis on subject touched</t>
  </si>
  <si>
    <t>drains Heka = target's M, MR roll or perm</t>
  </si>
  <si>
    <t>Lashes of neg. heka force. 1/10 STEEP does 1d6 PD @</t>
  </si>
  <si>
    <t>DMC, Elemental</t>
  </si>
  <si>
    <t>1+ 1 arrow per 10 STEEP for 1d6 plus cold</t>
  </si>
  <si>
    <t>1d6 chem dmg for 2d3 CT</t>
  </si>
  <si>
    <t>move on water at rate = caster's M in feet/CT</t>
  </si>
  <si>
    <t>1 yd r/10 STEEP; 20 Heka for each1d6 x1d6 exposure</t>
  </si>
  <si>
    <t>4d6 PD by touch: firefingers/arctouch/icetalon/rockfist</t>
  </si>
  <si>
    <t>6d6 dmg, 2 forks=3d6 @, 3 forks=2d6 @</t>
  </si>
  <si>
    <t>Thale's Elemental Cloak FORMULA</t>
  </si>
  <si>
    <t>Invulnerability to mundane elements. 1:1 for heka-based</t>
  </si>
  <si>
    <t>Cagliostro's Sheet Lightning CANTRIP</t>
  </si>
  <si>
    <t>6d6 of electrical damage in a single plane Move MRSpd feet</t>
  </si>
  <si>
    <t>DMC, Gray</t>
  </si>
  <si>
    <t>draws attention away from caster</t>
  </si>
  <si>
    <t>Similar to armor, physical, but shadowy. 1:1 heka cost</t>
  </si>
  <si>
    <t>flash of light that blinds for 1d3 CT +1 CT per 10 STEEP</t>
  </si>
  <si>
    <t>3d6 stun to all in AOE. +1d6 for every 20 added heka</t>
  </si>
  <si>
    <t>blends in, giving a 30% bonus to sneaking/15% if moving</t>
  </si>
  <si>
    <t>DMC, Green</t>
  </si>
  <si>
    <t>Hornet's Nest CHARM</t>
  </si>
  <si>
    <t>1 hornet/ STEEP; 1d6 hornets/target 1@ point poison ++</t>
  </si>
  <si>
    <t>Javelin-sized dart does 3d6 PD, additional per @ 20 STEEP</t>
  </si>
  <si>
    <t>caster an step into trees and rest, recover Heka &amp; heal</t>
  </si>
  <si>
    <t>DMC, White</t>
  </si>
  <si>
    <t>d6+1 to P Trait; additional P restored at 5:1 Heka</t>
  </si>
  <si>
    <t>Hospice RIRUAL</t>
  </si>
  <si>
    <t>Creates a safe place and increases rested effect</t>
  </si>
  <si>
    <t>Forces the subject to tell the truth</t>
  </si>
  <si>
    <t>Enables telepathic communication between two  subjects</t>
  </si>
  <si>
    <t>PCFT, General</t>
  </si>
  <si>
    <t>bonus 10 STEEP to any K/S Area</t>
  </si>
  <si>
    <t>resist physical damage on a 1:1 point per heka expended</t>
  </si>
  <si>
    <t>Healing Minor FORMULA</t>
  </si>
  <si>
    <t>Heals 2d3 per 10 STEEP</t>
  </si>
  <si>
    <t>SMCap (or SMPow) +1d6 in defenses vs M/P/S damage</t>
  </si>
  <si>
    <t>Healing Major CANTRIP</t>
  </si>
  <si>
    <t>Heals 2d6+2 per 10 STEEP</t>
  </si>
  <si>
    <t>PCFT, Balance</t>
  </si>
  <si>
    <t>subjects height weight and strength increases / 10 STEEP</t>
  </si>
  <si>
    <t>Hold and trigger another casting based on occurrence</t>
  </si>
  <si>
    <t>Generates 1 Joss Factor/CT for 1 AT (not cumulative)</t>
  </si>
  <si>
    <t>PCFT, Gloomy</t>
  </si>
  <si>
    <t>Can conceal themselves in heavy shadows/dark places</t>
  </si>
  <si>
    <t>Webs of Pain CANTRIP</t>
  </si>
  <si>
    <t>Webs that capture victims and do 3d3/CT + numbing pain</t>
  </si>
  <si>
    <t>PCFT, Moonlight</t>
  </si>
  <si>
    <t>Create magickal field of repulsion for one stated class</t>
  </si>
  <si>
    <t>PCFT, Sunlight</t>
  </si>
  <si>
    <t>Negates 1d10 STR points / 10 STEEP</t>
  </si>
  <si>
    <t>Alchemy</t>
  </si>
  <si>
    <t>Read and comprehend written mat'l, including magick</t>
  </si>
  <si>
    <t>2d3 chemicaldmg +1d3/10 STEEP</t>
  </si>
  <si>
    <t>1d6 chem dmg</t>
  </si>
  <si>
    <t>one obj/subj invisible</t>
  </si>
  <si>
    <t>10' dia circle that requires a S TRAIT roll to cross</t>
  </si>
  <si>
    <t>Safe Passage ITUAL</t>
  </si>
  <si>
    <t>caster can pass natural dangers</t>
  </si>
  <si>
    <t>Alert triggered when evil creatures are near</t>
  </si>
  <si>
    <t>Minor spirit serves as sentinal to warn of entry</t>
  </si>
  <si>
    <t>Conjuration</t>
  </si>
  <si>
    <t>Energy Gift CHARM</t>
  </si>
  <si>
    <t>Bestows 10 pts to @ Trait +30 points of Heka to subject</t>
  </si>
  <si>
    <t>Creates personal Heka reservoir from various metals</t>
  </si>
  <si>
    <t>Cipher of Protection CHARM</t>
  </si>
  <si>
    <t>Personal area protection from PD and Heka = STEEP</t>
  </si>
  <si>
    <t>p.189</t>
  </si>
  <si>
    <t>Astrology</t>
  </si>
  <si>
    <t>Influence of Sagittarius</t>
  </si>
  <si>
    <t>See invisible creatures</t>
  </si>
  <si>
    <t>Divination</t>
  </si>
  <si>
    <t>Herbalism</t>
  </si>
  <si>
    <t>Power Crystal SPELL</t>
  </si>
  <si>
    <t>crystal to hold a casting, shield caster, or store Heka</t>
  </si>
  <si>
    <t>Mediumship</t>
  </si>
  <si>
    <t xml:space="preserve">Allows the Medium to summon small items </t>
  </si>
  <si>
    <t>Faith Healing RITUAL</t>
  </si>
  <si>
    <t>Increase senses</t>
  </si>
  <si>
    <t>Necromancy</t>
  </si>
  <si>
    <t>Wraithform</t>
  </si>
  <si>
    <t>Core Castings and Readied Castings</t>
  </si>
  <si>
    <t>Absorbs 6d6 (+1:1 pt) Phys and Heka atks within 1 rod</t>
  </si>
  <si>
    <t>One object or subject/group</t>
  </si>
  <si>
    <t>Utility</t>
  </si>
  <si>
    <t>Healing</t>
  </si>
  <si>
    <t>Protection</t>
  </si>
  <si>
    <t>Enhancment</t>
  </si>
  <si>
    <t>Casting Type</t>
  </si>
  <si>
    <t>Shield of Belief SPELL</t>
  </si>
  <si>
    <t>1 Total</t>
  </si>
  <si>
    <t>Sun Po's Fire Wind SPELL</t>
  </si>
  <si>
    <t>Giyph of Terror SPELL</t>
  </si>
  <si>
    <t>Aerial Refrain SPELL</t>
  </si>
  <si>
    <t>Coin Values Table</t>
  </si>
  <si>
    <t>Enter qty of ea. coin type below</t>
  </si>
  <si>
    <t>* Assumes 1oz. coin. 16 coins = 1 lb</t>
  </si>
  <si>
    <r>
      <rPr>
        <b/>
        <sz val="10"/>
        <rFont val="Mirage"/>
        <family val="1"/>
      </rPr>
      <t>COIN TO BUC CONVERTER</t>
    </r>
    <r>
      <rPr>
        <b/>
        <sz val="9"/>
        <rFont val="Mirage"/>
        <family val="1"/>
      </rPr>
      <t xml:space="preserve"> (Just like your own personal money changer)</t>
    </r>
  </si>
  <si>
    <t>(not a coin)</t>
  </si>
  <si>
    <t>A Casting you created</t>
  </si>
  <si>
    <t>Known Casting, but not Primary</t>
  </si>
  <si>
    <t>Your Primary casting Area</t>
  </si>
  <si>
    <t>‘Primary’ K/S Area(s)</t>
  </si>
  <si>
    <t xml:space="preserve">Specific to caster** </t>
  </si>
  <si>
    <t xml:space="preserve">Known*** and ‘readied’ </t>
  </si>
  <si>
    <t>One, two, or three ‘prepared’</t>
  </si>
  <si>
    <t xml:space="preserve">Recalling*** Casting </t>
  </si>
  <si>
    <t>Stress/distracted/harassed</t>
  </si>
  <si>
    <t>Suffering from fear/horror</t>
  </si>
  <si>
    <t xml:space="preserve">Under damaging attack </t>
  </si>
  <si>
    <t>Not "Known"</t>
  </si>
  <si>
    <t>Your three Readied Castings</t>
  </si>
  <si>
    <t>Full Practitioner</t>
  </si>
  <si>
    <t>For Partial Practitioners</t>
  </si>
  <si>
    <t>Known/Recallable: 20@ in principal area, 15@ from all others - 35 for each list, or 70 total!</t>
  </si>
  <si>
    <t>For Full Practitioners</t>
  </si>
  <si>
    <t>Known/Recallable: 40@ in principal area, 20@ from all others - 60 for each list, or 120 total!</t>
  </si>
  <si>
    <t>Multiply the total of Known and Recallable castings by 4 to find your starting number.</t>
  </si>
  <si>
    <t>Eyebite</t>
  </si>
  <si>
    <t>no different</t>
  </si>
  <si>
    <t xml:space="preserve">Charm </t>
  </si>
  <si>
    <t xml:space="preserve">Cantrip </t>
  </si>
  <si>
    <t>1 CT</t>
  </si>
  <si>
    <t xml:space="preserve">Spell </t>
  </si>
  <si>
    <t>2 CTs</t>
  </si>
  <si>
    <t xml:space="preserve">Formula </t>
  </si>
  <si>
    <t>3 CTs</t>
  </si>
  <si>
    <t xml:space="preserve">Ritual </t>
  </si>
  <si>
    <t>5 CTs</t>
  </si>
  <si>
    <t>same CT, last event</t>
  </si>
  <si>
    <t>"Readied" Activation time</t>
  </si>
  <si>
    <t>Heka-Generating K/S Areas</t>
  </si>
  <si>
    <t>Base Heka Generation</t>
  </si>
  <si>
    <t>Special</t>
  </si>
  <si>
    <t>Apotropaism:</t>
  </si>
  <si>
    <t>STEEP + (MMC + MRC)</t>
  </si>
  <si>
    <t>Astronomy:</t>
  </si>
  <si>
    <t>STEEP + MMC</t>
  </si>
  <si>
    <t>note 1</t>
  </si>
  <si>
    <t>Demonology:</t>
  </si>
  <si>
    <t>note 2</t>
  </si>
  <si>
    <t>Dweomercræft:</t>
  </si>
  <si>
    <t>STEEP + MM CATEGORY</t>
  </si>
  <si>
    <t>note 3</t>
  </si>
  <si>
    <t>Magick:</t>
  </si>
  <si>
    <t>STEEP + MR CATEGORY</t>
  </si>
  <si>
    <t>Spellsongs:</t>
  </si>
  <si>
    <t>note 4</t>
  </si>
  <si>
    <t>Physical TRAIT Areas:</t>
  </si>
  <si>
    <t>Endurance:</t>
  </si>
  <si>
    <t>STEEP + (PMP + PNP)</t>
  </si>
  <si>
    <t>Gemsmith/Lapidary</t>
  </si>
  <si>
    <t>STEEP + PNP</t>
  </si>
  <si>
    <t>Heka Forging:</t>
  </si>
  <si>
    <t>STEEP + PM CATEGORY</t>
  </si>
  <si>
    <t>note 5</t>
  </si>
  <si>
    <t>Music:</t>
  </si>
  <si>
    <t>STEEP + (PMS + PNS)</t>
  </si>
  <si>
    <t>Spiritual TRAIT Areas:</t>
  </si>
  <si>
    <t>Alchemy:</t>
  </si>
  <si>
    <t>STEEP + SM CATEGORY</t>
  </si>
  <si>
    <t xml:space="preserve">        </t>
  </si>
  <si>
    <t>Astrology:</t>
  </si>
  <si>
    <t>STEEP + SPC</t>
  </si>
  <si>
    <t>Conjuration:</t>
  </si>
  <si>
    <t>STEEP + (SMP + SPP)</t>
  </si>
  <si>
    <t>Divination:</t>
  </si>
  <si>
    <t>Exorcism:</t>
  </si>
  <si>
    <t>STEEP + SMC</t>
  </si>
  <si>
    <t>Fortune Telling:</t>
  </si>
  <si>
    <t>STEEP + SPP</t>
  </si>
  <si>
    <t>Herbalism:</t>
  </si>
  <si>
    <t>Mediumship:</t>
  </si>
  <si>
    <t>STEEP  + SPP</t>
  </si>
  <si>
    <t>Metaphysics:</t>
  </si>
  <si>
    <t>Musical Composition:</t>
  </si>
  <si>
    <t>STEEP + SMP</t>
  </si>
  <si>
    <t>Mysticism:</t>
  </si>
  <si>
    <t>STEEP + SP CATEGORY</t>
  </si>
  <si>
    <t>Necromancy:</t>
  </si>
  <si>
    <t>Occultism:</t>
  </si>
  <si>
    <t>Pantheology:</t>
  </si>
  <si>
    <t>Poetry/Lyrics:</t>
  </si>
  <si>
    <t>STEEP + (SMS + SPS)</t>
  </si>
  <si>
    <t>Priestcræft:</t>
  </si>
  <si>
    <t>note 6</t>
  </si>
  <si>
    <t>Sorcery:</t>
  </si>
  <si>
    <t>STEEP + (SMP + SMS)</t>
  </si>
  <si>
    <t xml:space="preserve">note 2     </t>
  </si>
  <si>
    <t>Witchcræft:</t>
  </si>
  <si>
    <t>STEEP + SPS</t>
  </si>
  <si>
    <t>note 7</t>
  </si>
  <si>
    <t>Yoga:</t>
  </si>
  <si>
    <t>STEEP x 2</t>
  </si>
  <si>
    <t>note 8</t>
  </si>
  <si>
    <r>
      <t xml:space="preserve">         🧪</t>
    </r>
    <r>
      <rPr>
        <sz val="12"/>
        <rFont val="Mirage"/>
        <family val="1"/>
      </rPr>
      <t xml:space="preserve"> Table of Alchemical Consumables: Solutions, Oils, &amp; Gases </t>
    </r>
    <r>
      <rPr>
        <sz val="12"/>
        <rFont val="Segoe UI Emoji"/>
        <family val="2"/>
      </rPr>
      <t>⚗️</t>
    </r>
  </si>
  <si>
    <r>
      <t>☠</t>
    </r>
    <r>
      <rPr>
        <sz val="12"/>
        <rFont val="Segoe UI Symbol"/>
        <family val="2"/>
      </rPr>
      <t xml:space="preserve">  </t>
    </r>
    <r>
      <rPr>
        <sz val="12"/>
        <rFont val="Mirage"/>
        <family val="1"/>
      </rPr>
      <t xml:space="preserve">Table of Poisons  </t>
    </r>
    <r>
      <rPr>
        <sz val="14"/>
        <rFont val="Segoe UI Symbol"/>
        <family val="2"/>
      </rPr>
      <t>☠</t>
    </r>
  </si>
  <si>
    <r>
      <t xml:space="preserve">          ⚒</t>
    </r>
    <r>
      <rPr>
        <sz val="12"/>
        <rFont val="Mirage"/>
        <family val="1"/>
      </rPr>
      <t xml:space="preserve"> Table of Forging Materia Cost by Casting </t>
    </r>
    <r>
      <rPr>
        <b/>
        <sz val="16"/>
        <rFont val="Segoe UI Symbol"/>
        <family val="2"/>
      </rPr>
      <t>⚒</t>
    </r>
  </si>
  <si>
    <r>
      <t xml:space="preserve">            ⚒</t>
    </r>
    <r>
      <rPr>
        <sz val="12"/>
        <rFont val="Mirage"/>
        <family val="1"/>
      </rPr>
      <t xml:space="preserve"> The Heka-Forging Process Steps </t>
    </r>
    <r>
      <rPr>
        <b/>
        <sz val="16"/>
        <rFont val="Segoe UI Symbol"/>
        <family val="2"/>
      </rPr>
      <t>⚒</t>
    </r>
  </si>
  <si>
    <t>Alchemical Item</t>
  </si>
  <si>
    <t>Materia Cost</t>
  </si>
  <si>
    <t>Typical Price</t>
  </si>
  <si>
    <r>
      <t xml:space="preserve">Below is a compiled table of a variety of poisons of different strengths, with Heka-engendered poisons in </t>
    </r>
    <r>
      <rPr>
        <b/>
        <sz val="9"/>
        <color indexed="17"/>
        <rFont val="Mirage"/>
        <family val="1"/>
      </rPr>
      <t>green</t>
    </r>
    <r>
      <rPr>
        <sz val="9"/>
        <rFont val="Mirage"/>
        <family val="1"/>
      </rPr>
      <t>. Feel free to create and add to these, adding a variety of STR and ER values, One type not included here are specialty poisons that have two or more activating ingredients: The first one is the poison, benign until the second is introduced. Powerful and deadly, and nearly impossible to detect.</t>
    </r>
  </si>
  <si>
    <t>Task</t>
  </si>
  <si>
    <t>Cost per point</t>
  </si>
  <si>
    <r>
      <t>Divination</t>
    </r>
    <r>
      <rPr>
        <sz val="8"/>
        <rFont val="Mirage"/>
        <family val="1"/>
      </rPr>
      <t xml:space="preserve"> (</t>
    </r>
    <r>
      <rPr>
        <i/>
        <sz val="8"/>
        <rFont val="Mirage"/>
        <family val="1"/>
      </rPr>
      <t>optional</t>
    </r>
    <r>
      <rPr>
        <sz val="8"/>
        <rFont val="Mirage"/>
        <family val="1"/>
      </rPr>
      <t xml:space="preserve">) - Divine the feasibility of the forging using the CG I Astrology Casting </t>
    </r>
    <r>
      <rPr>
        <i/>
        <sz val="8"/>
        <color indexed="62"/>
        <rFont val="Mirage"/>
        <family val="1"/>
      </rPr>
      <t>Astromancy</t>
    </r>
  </si>
  <si>
    <t>Buoyancy Potion</t>
  </si>
  <si>
    <t xml:space="preserve">Elixir of White Dragon’s Blood </t>
  </si>
  <si>
    <t>Cleanse Item RITUAL</t>
  </si>
  <si>
    <t>Endure Elements Potion</t>
  </si>
  <si>
    <t>Grasshopper Oil</t>
  </si>
  <si>
    <t>Defense Bonus I (+1 to +5) (1k/pt each)</t>
  </si>
  <si>
    <r>
      <t>Purchase</t>
    </r>
    <r>
      <rPr>
        <sz val="8"/>
        <rFont val="Mirage"/>
        <family val="1"/>
      </rPr>
      <t xml:space="preserve"> </t>
    </r>
    <r>
      <rPr>
        <i/>
        <sz val="8"/>
        <rFont val="Mirage"/>
        <family val="1"/>
      </rPr>
      <t>- A</t>
    </r>
    <r>
      <rPr>
        <sz val="8"/>
        <rFont val="Mirage"/>
        <family val="1"/>
      </rPr>
      <t>cquire the item(s) and required materia for the Heka Forging. This is perhaps the most expensive step, but you could be kind and allow them to spend the materia cost for the castings in the later step at that time. I find it’s not usually an issue, if they can determine what it will cost for the entire process before they begin.</t>
    </r>
  </si>
  <si>
    <t>Glow Powder</t>
  </si>
  <si>
    <t>Invisibility Potion</t>
  </si>
  <si>
    <t>Liquid Light</t>
  </si>
  <si>
    <t>Oil of Sharpness</t>
  </si>
  <si>
    <t>STR</t>
  </si>
  <si>
    <t>E/R</t>
  </si>
  <si>
    <t>Form</t>
  </si>
  <si>
    <t>Toxicity</t>
  </si>
  <si>
    <t>Longevity</t>
  </si>
  <si>
    <t>Purpose</t>
  </si>
  <si>
    <t>Dmg</t>
  </si>
  <si>
    <t>Materia</t>
  </si>
  <si>
    <t>Price</t>
  </si>
  <si>
    <t>Evaluate Item FORMULA</t>
  </si>
  <si>
    <t>Weapon Oil - Iron "Faebane"</t>
  </si>
  <si>
    <t>Paralyzation Gas Bomb</t>
  </si>
  <si>
    <t xml:space="preserve">Arsenic </t>
  </si>
  <si>
    <t>Days</t>
  </si>
  <si>
    <t>Powder</t>
  </si>
  <si>
    <t>Mild</t>
  </si>
  <si>
    <t>Years</t>
  </si>
  <si>
    <t>injure</t>
  </si>
  <si>
    <t>P</t>
  </si>
  <si>
    <t>Fireforge Heat</t>
  </si>
  <si>
    <t>Acid Jet Bomb</t>
  </si>
  <si>
    <t>Potion of Faith II</t>
  </si>
  <si>
    <t>Assassin’s Juice</t>
  </si>
  <si>
    <t>1 BT</t>
  </si>
  <si>
    <t>Liquid</t>
  </si>
  <si>
    <t>Prepare Item RITUAL</t>
  </si>
  <si>
    <r>
      <t>Evaluate</t>
    </r>
    <r>
      <rPr>
        <sz val="8"/>
        <rFont val="Mirage"/>
        <family val="1"/>
      </rPr>
      <t xml:space="preserve"> - Using the CG I </t>
    </r>
    <r>
      <rPr>
        <i/>
        <sz val="8"/>
        <color indexed="62"/>
        <rFont val="Mirage"/>
        <family val="1"/>
      </rPr>
      <t>Evaluate Item</t>
    </r>
    <r>
      <rPr>
        <sz val="8"/>
        <rFont val="Mirage"/>
        <family val="1"/>
      </rPr>
      <t xml:space="preserve"> casting to ensure it is of suitable quality for the intended Heka-Forging. If the item indicates anything odd, they might want to evaluate it for potential influences using a grade II Astrology Casting </t>
    </r>
    <r>
      <rPr>
        <i/>
        <sz val="8"/>
        <color indexed="62"/>
        <rFont val="Mirage"/>
        <family val="1"/>
      </rPr>
      <t>Star Chart Item</t>
    </r>
    <r>
      <rPr>
        <sz val="8"/>
        <rFont val="Mirage"/>
        <family val="1"/>
      </rPr>
      <t>.</t>
    </r>
  </si>
  <si>
    <t>Feather Step Potion</t>
  </si>
  <si>
    <t>Potion of Inspiration II</t>
  </si>
  <si>
    <t>Madness Spores</t>
  </si>
  <si>
    <t>6 AT</t>
  </si>
  <si>
    <t>Weak</t>
  </si>
  <si>
    <t>Months</t>
  </si>
  <si>
    <t>Incap</t>
  </si>
  <si>
    <t>Poison Dust</t>
  </si>
  <si>
    <t>Potion of Strength II</t>
  </si>
  <si>
    <t xml:space="preserve">Strangleweed </t>
  </si>
  <si>
    <t>3 BT</t>
  </si>
  <si>
    <t>Maximus Potion</t>
  </si>
  <si>
    <t>Alchemical Fireball Bomb</t>
  </si>
  <si>
    <t xml:space="preserve">Viper Venom - Tiny </t>
  </si>
  <si>
    <t>3 AT</t>
  </si>
  <si>
    <t>Attack Bonus I (+1 to +5) (2k/pt each)</t>
  </si>
  <si>
    <r>
      <t>Remove Prior Enchantments</t>
    </r>
    <r>
      <rPr>
        <sz val="8"/>
        <rFont val="Mirage"/>
        <family val="1"/>
      </rPr>
      <t xml:space="preserve"> (</t>
    </r>
    <r>
      <rPr>
        <i/>
        <sz val="8"/>
        <rFont val="Mirage"/>
        <family val="1"/>
      </rPr>
      <t>optional</t>
    </r>
    <r>
      <rPr>
        <sz val="8"/>
        <rFont val="Mirage"/>
        <family val="1"/>
      </rPr>
      <t xml:space="preserve">) - If the item has prior enchantments or effects, they may want to use the grade VII Astrology Casting </t>
    </r>
    <r>
      <rPr>
        <i/>
        <sz val="8"/>
        <color indexed="62"/>
        <rFont val="Mirage"/>
        <family val="1"/>
      </rPr>
      <t>Incantation of Saturn</t>
    </r>
    <r>
      <rPr>
        <sz val="8"/>
        <rFont val="Mirage"/>
        <family val="1"/>
      </rPr>
      <t xml:space="preserve">, or the grade IX </t>
    </r>
    <r>
      <rPr>
        <i/>
        <sz val="8"/>
        <color indexed="62"/>
        <rFont val="Mirage"/>
        <family val="1"/>
      </rPr>
      <t>Unbinding</t>
    </r>
    <r>
      <rPr>
        <sz val="8"/>
        <rFont val="Mirage"/>
        <family val="1"/>
      </rPr>
      <t xml:space="preserve"> casting. I’m going to avoid the comparison to buying a used car, but you know…</t>
    </r>
  </si>
  <si>
    <t>Minimus Potion</t>
  </si>
  <si>
    <t>Elixir of False Health</t>
  </si>
  <si>
    <t xml:space="preserve">Belladonna/Nightshade </t>
  </si>
  <si>
    <t>1 Wk</t>
  </si>
  <si>
    <t>Charm Forging RITUAL</t>
  </si>
  <si>
    <t>Spiderwalk Potion</t>
  </si>
  <si>
    <t>Poison Gas Bomb</t>
  </si>
  <si>
    <t>Drow sleep poison</t>
  </si>
  <si>
    <t>Instant</t>
  </si>
  <si>
    <t>Damage Bonus I (+1 to +5) (2k/pt each)</t>
  </si>
  <si>
    <t>Wakeful Solution</t>
  </si>
  <si>
    <t>Potion of Fire Breath</t>
  </si>
  <si>
    <t xml:space="preserve">Hellebore </t>
  </si>
  <si>
    <t>1 AT</t>
  </si>
  <si>
    <r>
      <t>Evaluate</t>
    </r>
    <r>
      <rPr>
        <sz val="8"/>
        <rFont val="Mirage"/>
        <family val="1"/>
      </rPr>
      <t xml:space="preserve"> (</t>
    </r>
    <r>
      <rPr>
        <i/>
        <sz val="8"/>
        <rFont val="Mirage"/>
        <family val="1"/>
      </rPr>
      <t>optional</t>
    </r>
    <r>
      <rPr>
        <sz val="8"/>
        <rFont val="Mirage"/>
        <family val="1"/>
      </rPr>
      <t xml:space="preserve">) - If you followed the prior step, it would be a good idea to use another </t>
    </r>
    <r>
      <rPr>
        <i/>
        <sz val="8"/>
        <color indexed="62"/>
        <rFont val="Mirage"/>
        <family val="1"/>
      </rPr>
      <t>Evaluate Item</t>
    </r>
    <r>
      <rPr>
        <sz val="8"/>
        <rFont val="Mirage"/>
        <family val="1"/>
      </rPr>
      <t xml:space="preserve"> casting, otherwise skip to the next step.</t>
    </r>
  </si>
  <si>
    <t>Alkaline Shower Bomb</t>
  </si>
  <si>
    <t>Weapon Oil - Hekalite</t>
  </si>
  <si>
    <t xml:space="preserve">Locoweed </t>
  </si>
  <si>
    <t>2 CT</t>
  </si>
  <si>
    <t>Powered Device RITUAL</t>
  </si>
  <si>
    <t>Fae Breeze Potion</t>
  </si>
  <si>
    <t>Aethereality Powder</t>
  </si>
  <si>
    <t xml:space="preserve">Black Adder Venom </t>
  </si>
  <si>
    <t>2 AT</t>
  </si>
  <si>
    <t>Paste</t>
  </si>
  <si>
    <t>Weeks</t>
  </si>
  <si>
    <r>
      <t>Cleanse</t>
    </r>
    <r>
      <rPr>
        <sz val="8"/>
        <rFont val="Mirage"/>
        <family val="1"/>
      </rPr>
      <t xml:space="preserve"> - Cleanse Item to be sure it will hold subsequent enchantments.</t>
    </r>
  </si>
  <si>
    <t>Flashbang Bomb</t>
  </si>
  <si>
    <t>Alfabri's Eldritch Fire Bomb</t>
  </si>
  <si>
    <t>Malice Powder</t>
  </si>
  <si>
    <t>2 BT</t>
  </si>
  <si>
    <t>Indefinite</t>
  </si>
  <si>
    <t>Injury</t>
  </si>
  <si>
    <t>Potion of Faith I</t>
  </si>
  <si>
    <t>Blindness Gas Bomb</t>
  </si>
  <si>
    <t>Night Dreams</t>
  </si>
  <si>
    <r>
      <t>Bless</t>
    </r>
    <r>
      <rPr>
        <sz val="8"/>
        <rFont val="Mirage"/>
        <family val="1"/>
      </rPr>
      <t xml:space="preserve"> (</t>
    </r>
    <r>
      <rPr>
        <i/>
        <sz val="8"/>
        <rFont val="Mirage"/>
        <family val="1"/>
      </rPr>
      <t>optional</t>
    </r>
    <r>
      <rPr>
        <sz val="8"/>
        <rFont val="Mirage"/>
        <family val="1"/>
      </rPr>
      <t xml:space="preserve">) - Depending on the item and what it will be used for (or against), apply </t>
    </r>
    <r>
      <rPr>
        <i/>
        <sz val="8"/>
        <color indexed="62"/>
        <rFont val="Mirage"/>
        <family val="1"/>
      </rPr>
      <t>Blessing</t>
    </r>
    <r>
      <rPr>
        <sz val="8"/>
        <color indexed="62"/>
        <rFont val="Mirage"/>
        <family val="1"/>
      </rPr>
      <t>, Major</t>
    </r>
    <r>
      <rPr>
        <sz val="8"/>
        <rFont val="Mirage"/>
        <family val="1"/>
      </rPr>
      <t xml:space="preserve"> or </t>
    </r>
    <r>
      <rPr>
        <i/>
        <sz val="8"/>
        <color indexed="62"/>
        <rFont val="Mirage"/>
        <family val="1"/>
      </rPr>
      <t>Consecration</t>
    </r>
    <r>
      <rPr>
        <sz val="8"/>
        <rFont val="Mirage"/>
        <family val="1"/>
      </rPr>
      <t xml:space="preserve"> – on the item before the Heka-Forging, and certainly if it will be used for a holy or unholy purpose.</t>
    </r>
  </si>
  <si>
    <t>Potion of Inspiration I</t>
  </si>
  <si>
    <t>Full Armor Elixir</t>
  </si>
  <si>
    <t xml:space="preserve">Viper Venom - Medium </t>
  </si>
  <si>
    <t>Defense Bonus II (+1 to +10) (3k/pt each)</t>
  </si>
  <si>
    <t>Potion of Strength I</t>
  </si>
  <si>
    <t>Ghost Essence Potion</t>
  </si>
  <si>
    <t xml:space="preserve">Viper Venom - Small </t>
  </si>
  <si>
    <t>4 AT</t>
  </si>
  <si>
    <t>Weapon Oil - Silver "Werebane"</t>
  </si>
  <si>
    <t>Weakness Gas Bomb</t>
  </si>
  <si>
    <t xml:space="preserve">Black Widow Venom </t>
  </si>
  <si>
    <t>P, M</t>
  </si>
  <si>
    <t>Recharge RITUAL (10 BUCs / Heka pt)</t>
  </si>
  <si>
    <r>
      <t>Chart</t>
    </r>
    <r>
      <rPr>
        <sz val="8"/>
        <rFont val="Mirage"/>
        <family val="1"/>
      </rPr>
      <t xml:space="preserve"> (</t>
    </r>
    <r>
      <rPr>
        <i/>
        <sz val="8"/>
        <rFont val="Mirage"/>
        <family val="1"/>
      </rPr>
      <t>optional</t>
    </r>
    <r>
      <rPr>
        <sz val="8"/>
        <rFont val="Mirage"/>
        <family val="1"/>
      </rPr>
      <t xml:space="preserve">) - Astrology grade III </t>
    </r>
    <r>
      <rPr>
        <i/>
        <sz val="8"/>
        <color indexed="62"/>
        <rFont val="Mirage"/>
        <family val="1"/>
      </rPr>
      <t>Chart Heka Forging</t>
    </r>
    <r>
      <rPr>
        <sz val="8"/>
        <rFont val="Mirage"/>
        <family val="1"/>
      </rPr>
      <t xml:space="preserve"> will determine if it is properly prepared.</t>
    </r>
  </si>
  <si>
    <t>Dark Whispers Potion</t>
  </si>
  <si>
    <t>Astral Powder</t>
  </si>
  <si>
    <t xml:space="preserve">Carrion Crawler Extract </t>
  </si>
  <si>
    <t>Oil</t>
  </si>
  <si>
    <t xml:space="preserve">Skill Bonus I (+1 to +5) (4k/STEEP pt each) </t>
  </si>
  <si>
    <t>Fludd's Fire Bomb</t>
  </si>
  <si>
    <t xml:space="preserve">Draught of Dragon Tears </t>
  </si>
  <si>
    <t xml:space="preserve">Couatl Venom </t>
  </si>
  <si>
    <t>Strong</t>
  </si>
  <si>
    <r>
      <t>Prepare</t>
    </r>
    <r>
      <rPr>
        <sz val="8"/>
        <rFont val="Mirage"/>
        <family val="1"/>
      </rPr>
      <t xml:space="preserve"> - Prepare materia for use, and apply to item(s)</t>
    </r>
  </si>
  <si>
    <t>Oil of Slipperiness</t>
  </si>
  <si>
    <t>Potion of Faith III</t>
  </si>
  <si>
    <t>Mindcloak</t>
  </si>
  <si>
    <t>M, S</t>
  </si>
  <si>
    <t>Vital Seeking I FORMULA (+1 to +5) (3k/pt each)</t>
  </si>
  <si>
    <t>Reflex Boost</t>
  </si>
  <si>
    <t>Potion of Inspiration III</t>
  </si>
  <si>
    <t xml:space="preserve">Quicksilver </t>
  </si>
  <si>
    <t>4 BT</t>
  </si>
  <si>
    <t>Attack Bonus II (+1 to +10) (4k/pt each)</t>
  </si>
  <si>
    <r>
      <t>Concentration</t>
    </r>
    <r>
      <rPr>
        <sz val="8"/>
        <rFont val="Mirage"/>
        <family val="1"/>
      </rPr>
      <t xml:space="preserve"> (</t>
    </r>
    <r>
      <rPr>
        <i/>
        <sz val="8"/>
        <rFont val="Mirage"/>
        <family val="1"/>
      </rPr>
      <t>optional</t>
    </r>
    <r>
      <rPr>
        <sz val="8"/>
        <rFont val="Mirage"/>
        <family val="1"/>
      </rPr>
      <t xml:space="preserve">) – If the item being forged is to contain Heka, using the grade VIII Astrology Casting </t>
    </r>
    <r>
      <rPr>
        <i/>
        <sz val="8"/>
        <color indexed="62"/>
        <rFont val="Mirage"/>
        <family val="1"/>
      </rPr>
      <t>Influence of Leo</t>
    </r>
    <r>
      <rPr>
        <sz val="8"/>
        <rFont val="Mirage"/>
        <family val="1"/>
      </rPr>
      <t xml:space="preserve"> will double the Heka-enabled content of a single item!</t>
    </r>
  </si>
  <si>
    <t>Sleep Gas Bomb</t>
  </si>
  <si>
    <t>Potion of Strength III</t>
  </si>
  <si>
    <t>Ungol Sap</t>
  </si>
  <si>
    <t>20 years</t>
  </si>
  <si>
    <t>Dalthor’s Pliable Metal SPELL</t>
  </si>
  <si>
    <t>Wateracid Bomb</t>
  </si>
  <si>
    <t>Serum of Elemental Command</t>
  </si>
  <si>
    <t xml:space="preserve">Viper Venom - Large </t>
  </si>
  <si>
    <t>Damage Bonus II (+1 to +10) (4k/pt each)</t>
  </si>
  <si>
    <t>Diamond Eyes Gas Bomb</t>
  </si>
  <si>
    <t xml:space="preserve">Serum of Gender Reversal </t>
  </si>
  <si>
    <t>Aboleth Sap</t>
  </si>
  <si>
    <t>Fast Combat Bonus I FORMULA (+1 to +5) (3k/pt each)</t>
  </si>
  <si>
    <r>
      <t>Add Heka and/or Castings</t>
    </r>
    <r>
      <rPr>
        <sz val="8"/>
        <rFont val="Mirage"/>
        <family val="1"/>
      </rPr>
      <t xml:space="preserve"> – this is the step that must be completed all at once. If applying multiple castings, they must either be performed sequentially, or in tandem with other casters. You may decide that a single failed casting ruins the whole thing, or that casting simply didn’t “take”. Of course, provided the persona who performs the Heka-Forging included the prior steps. There should be enough DR adjustments that this part is not difficult at all.</t>
    </r>
  </si>
  <si>
    <t xml:space="preserve">Elixir of Dragon’s Blood </t>
  </si>
  <si>
    <t>Alcahest</t>
  </si>
  <si>
    <t>Malice Sap</t>
  </si>
  <si>
    <t>100 years</t>
  </si>
  <si>
    <t>General Pool (10 BUCs / Heka pt)</t>
  </si>
  <si>
    <t xml:space="preserve">Elixir of Black Dragon’s Blood </t>
  </si>
  <si>
    <t>Amaranth Nectar</t>
  </si>
  <si>
    <t xml:space="preserve">PseudoDragon Poison </t>
  </si>
  <si>
    <t>3000/item</t>
  </si>
  <si>
    <t xml:space="preserve">Elixir of Blue Dragon’s Blood </t>
  </si>
  <si>
    <t xml:space="preserve">Psychic Elixir </t>
  </si>
  <si>
    <t>Reaver Dust</t>
  </si>
  <si>
    <t xml:space="preserve">Elixir of Green Dragon’s Blood </t>
  </si>
  <si>
    <t>Tau Bomb</t>
  </si>
  <si>
    <t>Toadstool</t>
  </si>
  <si>
    <t>2 Hrs</t>
  </si>
  <si>
    <t>1 year</t>
  </si>
  <si>
    <t>Purity SPELL (400 BUCs / cu ft)</t>
  </si>
  <si>
    <t xml:space="preserve">Elixir of Red Dragon’s Blood </t>
  </si>
  <si>
    <t xml:space="preserve">Troll Blood Elixir </t>
  </si>
  <si>
    <t xml:space="preserve">Viper Venom - Huge </t>
  </si>
  <si>
    <t>Zombie Dust</t>
  </si>
  <si>
    <t>Absorb Blow RITUAL</t>
  </si>
  <si>
    <t>While some prices are high, it's usually because the materia is either exotic, hard to find or attached to something dangerous</t>
  </si>
  <si>
    <t>Aconite Sap</t>
  </si>
  <si>
    <t>1 Hr</t>
  </si>
  <si>
    <t>Severe</t>
  </si>
  <si>
    <t>Amulet</t>
  </si>
  <si>
    <t>Aether Extract</t>
  </si>
  <si>
    <t>Gas</t>
  </si>
  <si>
    <t>1 month</t>
  </si>
  <si>
    <r>
      <t>Bombs are expensive and hard to find. They are also not infallible, nor are they necessarily safe in any environment where they could be jostled or accidentally detonated</t>
    </r>
    <r>
      <rPr>
        <i/>
        <sz val="8"/>
        <color indexed="8"/>
        <rFont val="Mirage"/>
        <family val="1"/>
      </rPr>
      <t xml:space="preserve"> (for more information, see the Rules &amp; Errata section later on for the rules on handling and using bombs). </t>
    </r>
    <r>
      <rPr>
        <sz val="8"/>
        <color indexed="8"/>
        <rFont val="Mirage"/>
        <family val="1"/>
      </rPr>
      <t>If you made bombs, would you sell them to just any murder hobo who wandered into town?</t>
    </r>
  </si>
  <si>
    <t>Lich Bone Powder</t>
  </si>
  <si>
    <t>Night Crawler Poison</t>
  </si>
  <si>
    <t>Defense Bonus III (+1 to +15) (5k/pt each)</t>
  </si>
  <si>
    <t>Opium Extract</t>
  </si>
  <si>
    <t> -</t>
  </si>
  <si>
    <t>Royal Murder Spice</t>
  </si>
  <si>
    <t>Skill Bonus II (+1 to +10) (8K/STEEP pt)</t>
  </si>
  <si>
    <t>Slithervine Spores</t>
  </si>
  <si>
    <r>
      <t xml:space="preserve">   🍃</t>
    </r>
    <r>
      <rPr>
        <sz val="12"/>
        <rFont val="Mirage"/>
        <family val="1"/>
      </rPr>
      <t>Table of Herbalism Consumables: Potions, Concoctions, and Ointments</t>
    </r>
    <r>
      <rPr>
        <sz val="12"/>
        <rFont val="Segoe UI Emoji"/>
        <family val="2"/>
      </rPr>
      <t>🌿</t>
    </r>
  </si>
  <si>
    <r>
      <t>☠</t>
    </r>
    <r>
      <rPr>
        <sz val="12"/>
        <rFont val="Segoe UI Symbol"/>
        <family val="2"/>
      </rPr>
      <t xml:space="preserve">  </t>
    </r>
    <r>
      <rPr>
        <sz val="12"/>
        <rFont val="Mirage"/>
        <family val="1"/>
      </rPr>
      <t xml:space="preserve">Table of Poisons, continued  </t>
    </r>
    <r>
      <rPr>
        <sz val="14"/>
        <rFont val="Segoe UI Symbol"/>
        <family val="2"/>
      </rPr>
      <t>☠</t>
    </r>
  </si>
  <si>
    <r>
      <t xml:space="preserve">   ⚒</t>
    </r>
    <r>
      <rPr>
        <sz val="12"/>
        <rFont val="Mirage"/>
        <family val="1"/>
      </rPr>
      <t xml:space="preserve"> Table of Forging Materia Cost by Casting, continued </t>
    </r>
    <r>
      <rPr>
        <b/>
        <sz val="16"/>
        <rFont val="Segoe UI Symbol"/>
        <family val="2"/>
      </rPr>
      <t>⚒</t>
    </r>
  </si>
  <si>
    <t>Herbalism Item</t>
  </si>
  <si>
    <t>Enhancement Powder</t>
  </si>
  <si>
    <t>Antitoxin</t>
  </si>
  <si>
    <t>Brainweed Spores</t>
  </si>
  <si>
    <t>Vital Seeking II FORMULA (+1 to +10) (6k/pt each)</t>
  </si>
  <si>
    <t xml:space="preserve">Fire Pepper Dust </t>
  </si>
  <si>
    <t>Aethereal Sight Elixir</t>
  </si>
  <si>
    <t>Gloomtears</t>
  </si>
  <si>
    <t>Attack Bonus III (+1 to +15) (6k/pt each)</t>
  </si>
  <si>
    <t xml:space="preserve">Healing Poultice </t>
  </si>
  <si>
    <t>Flying Potion</t>
  </si>
  <si>
    <t xml:space="preserve">Puffer Fish </t>
  </si>
  <si>
    <t>Deadly</t>
  </si>
  <si>
    <t>24 hours</t>
  </si>
  <si>
    <t>Damage Bonus III (+1 to +15) (6k/pt each)</t>
  </si>
  <si>
    <t>Love Potion</t>
  </si>
  <si>
    <t xml:space="preserve">Healing Infusion </t>
  </si>
  <si>
    <t>Torpor Gas</t>
  </si>
  <si>
    <t>Dedicated Pool (10 BUCs/Heka point)</t>
  </si>
  <si>
    <t>Purification Potion</t>
  </si>
  <si>
    <t>Oil of Infection</t>
  </si>
  <si>
    <t>Viperflower Concentrate</t>
  </si>
  <si>
    <t>Fast Combat Bonus II FORMULA (+1 to +10) (7k/pt)</t>
  </si>
  <si>
    <t>Stabilize Potion</t>
  </si>
  <si>
    <t>Potion of Greater Healing</t>
  </si>
  <si>
    <t xml:space="preserve">Wyvern Poison </t>
  </si>
  <si>
    <t>5 AT</t>
  </si>
  <si>
    <t>Personal Attunement RITUAL (6,000 BUCs)</t>
  </si>
  <si>
    <t>Tears of the Frost Giant</t>
  </si>
  <si>
    <t>Truth Serum</t>
  </si>
  <si>
    <t xml:space="preserve">Black Lotus Extract </t>
  </si>
  <si>
    <t>Air Bubbles Potion</t>
  </si>
  <si>
    <t>Arrest Disease</t>
  </si>
  <si>
    <t>Death Cap Spores</t>
  </si>
  <si>
    <r>
      <t>-</t>
    </r>
    <r>
      <rPr>
        <b/>
        <sz val="9"/>
        <color indexed="30"/>
        <rFont val="Mirage"/>
        <family val="1"/>
      </rPr>
      <t> </t>
    </r>
  </si>
  <si>
    <t>Iron Water Potion</t>
  </si>
  <si>
    <t>Forgetfulness Elixir</t>
  </si>
  <si>
    <t xml:space="preserve">Deathblade </t>
  </si>
  <si>
    <t>4 CT</t>
  </si>
  <si>
    <t>Held Effect RITUAL (700 BUCs /CG)</t>
  </si>
  <si>
    <t>Remove paralysis Oil</t>
  </si>
  <si>
    <t>Gentle Repose Ointment</t>
  </si>
  <si>
    <t xml:space="preserve">Insanity Mist </t>
  </si>
  <si>
    <t>Item Invulnerability</t>
  </si>
  <si>
    <t>Shield potion</t>
  </si>
  <si>
    <t xml:space="preserve">Neutralize Poison </t>
  </si>
  <si>
    <t xml:space="preserve">Phase Spider Venom </t>
  </si>
  <si>
    <t>12d6 days</t>
  </si>
  <si>
    <t>Link Knowledge/Skill RITUAL (700 BUCs / STEEP)</t>
  </si>
  <si>
    <t>Sleep Potion</t>
  </si>
  <si>
    <t>Oil of Invisibility</t>
  </si>
  <si>
    <t>Reflect Energy RITUAL</t>
  </si>
  <si>
    <t>Acute Senses Potion</t>
  </si>
  <si>
    <t>Psychic Infusion</t>
  </si>
  <si>
    <t>Blackcloud Extract</t>
  </si>
  <si>
    <t>Skill Bonus III (12K/STEEP) 1-15ppts</t>
  </si>
  <si>
    <t>Cat’s Grace Potion</t>
  </si>
  <si>
    <t>Beast Repellant</t>
  </si>
  <si>
    <t xml:space="preserve">Demon Venom </t>
  </si>
  <si>
    <t>600 years</t>
  </si>
  <si>
    <t>Vital Seeking III FORMULA (+1 to +15) (10k/pt each)</t>
  </si>
  <si>
    <t>Herbal Poison</t>
  </si>
  <si>
    <t>Catatonic</t>
  </si>
  <si>
    <t>Purple Worm Poison</t>
  </si>
  <si>
    <t>Fast Combat Bonus III FORMULA (+1 to +15) (12k/pt)</t>
  </si>
  <si>
    <t>Levitate Potion</t>
  </si>
  <si>
    <t>Effluvium of Delusion</t>
  </si>
  <si>
    <t>Shadowcoat</t>
  </si>
  <si>
    <t>Heka Binding (80 BUCs per Heka pt) (100Heka)</t>
  </si>
  <si>
    <t>Ointment of Speed</t>
  </si>
  <si>
    <t>Mystic Oil</t>
  </si>
  <si>
    <t xml:space="preserve">Umber Madness </t>
  </si>
  <si>
    <t>All 3</t>
  </si>
  <si>
    <t>Link Casting (8000 BUCs / CG)</t>
  </si>
  <si>
    <t>Paralyzing Oil (10oz)</t>
  </si>
  <si>
    <t>Potion of Superior Healing</t>
  </si>
  <si>
    <t>Link Mask RITUAL (8K / CG)</t>
  </si>
  <si>
    <t>Potion of Healing</t>
  </si>
  <si>
    <t>Balm of Regeneration</t>
  </si>
  <si>
    <t>Link Set RITUAL (8K / linked item)</t>
  </si>
  <si>
    <t>Trollweed Potion</t>
  </si>
  <si>
    <t xml:space="preserve">Elemental Oil </t>
  </si>
  <si>
    <t xml:space="preserve">Location Attunement RITUAL </t>
  </si>
  <si>
    <t>800/item</t>
  </si>
  <si>
    <t>Darkvision Potion</t>
  </si>
  <si>
    <t>Elixir of Increased Health</t>
  </si>
  <si>
    <t>Link Spirit RITUAL (900 BUCs per M Trait)</t>
  </si>
  <si>
    <t>Delay poison</t>
  </si>
  <si>
    <t>Gaseous Form Potion</t>
  </si>
  <si>
    <t>Permanence (9000 BUCs / CG) (CG I Casting)</t>
  </si>
  <si>
    <t>Insight Potion</t>
  </si>
  <si>
    <t>Effluvium of Aethereality</t>
  </si>
  <si>
    <t>Permanence (CG II)</t>
  </si>
  <si>
    <t>Ointment of Strength</t>
  </si>
  <si>
    <t>Invulnerability Potion</t>
  </si>
  <si>
    <t>Permanence (CG III)</t>
  </si>
  <si>
    <t>Painkiller</t>
  </si>
  <si>
    <t>Potion of Supreme Healing</t>
  </si>
  <si>
    <t>Permanence (CG IV)</t>
  </si>
  <si>
    <t xml:space="preserve">Wraithwood Flower Elixir </t>
  </si>
  <si>
    <t>Rejuvenating Draught</t>
  </si>
  <si>
    <t>Permanence (CG IX)</t>
  </si>
  <si>
    <t>Permanence (CG V)</t>
  </si>
  <si>
    <t>Prices have generally been reduced to follow a formula based on the casting's grade, but some still have a multiplier applied.</t>
  </si>
  <si>
    <t>Permanence (CG VI)</t>
  </si>
  <si>
    <t>Permanence (CG VII)</t>
  </si>
  <si>
    <t>While some prices are still high, it's either because the materia is exotic, hard to find or attached to something dangerous</t>
  </si>
  <si>
    <t>Permanence (CG VIII)</t>
  </si>
  <si>
    <t>9,000 + SP</t>
  </si>
  <si>
    <t>Unbinding FORMULA L (900 BUCs per M Trait)</t>
  </si>
  <si>
    <t>HOUSE RULE REGARDING NUMBER OF CASTINGS</t>
  </si>
  <si>
    <t>Here are the numbers:</t>
  </si>
  <si>
    <t>Spell Book</t>
  </si>
  <si>
    <t>Prinicpal Area</t>
  </si>
  <si>
    <t>All Others</t>
  </si>
  <si>
    <t>Full Practitioners:</t>
  </si>
  <si>
    <t>Partial Practitioners:</t>
  </si>
  <si>
    <t>But, you say, what about Full Practitioners who are Mage/Priests?</t>
  </si>
  <si>
    <t>These Special Snowflakes are going to get quite the workout carrying all those books around</t>
  </si>
  <si>
    <r>
      <t xml:space="preserve">As far as </t>
    </r>
    <r>
      <rPr>
        <i/>
        <sz val="9"/>
        <rFont val="Mirage"/>
        <family val="1"/>
      </rPr>
      <t>Studyable Castings</t>
    </r>
    <r>
      <rPr>
        <sz val="9"/>
        <rFont val="Mirage"/>
        <family val="1"/>
      </rPr>
      <t>, the book says to assume a starting HP will have 50% of the castings available for their profession and STEEP, and while this number can vary greatly, I think a good house rule is:</t>
    </r>
  </si>
  <si>
    <r>
      <t>i.e., 140 for Partial Practitioners, and 240 for Full Practitioners</t>
    </r>
    <r>
      <rPr>
        <sz val="9"/>
        <rFont val="Mirage"/>
        <family val="1"/>
      </rPr>
      <t>. That’s still A LOT!</t>
    </r>
  </si>
  <si>
    <t>Full Practitioner Mage/Priests:</t>
  </si>
  <si>
    <t>Mage</t>
  </si>
  <si>
    <t>Priest</t>
  </si>
  <si>
    <t>(of which half of those</t>
  </si>
  <si>
    <t>Are Known/Recallable)</t>
  </si>
  <si>
    <t>Recallable*</t>
  </si>
  <si>
    <t>* For Simplicity, when you are trying to successfully recall a Casting, you must roll against the K/S in question at a DR of Moderate</t>
  </si>
  <si>
    <r>
      <t xml:space="preserve">K/S Areas appearing in </t>
    </r>
    <r>
      <rPr>
        <i/>
        <sz val="9"/>
        <rFont val="Mirage"/>
        <family val="1"/>
      </rPr>
      <t>italic type</t>
    </r>
    <r>
      <rPr>
        <sz val="9"/>
        <rFont val="Mirage"/>
        <family val="1"/>
      </rPr>
      <t xml:space="preserve">  produce Heka only when used in conjunction with certain K/S Areas, as explained in the notes below.</t>
    </r>
  </si>
  <si>
    <r>
      <t xml:space="preserve">Note 1 </t>
    </r>
    <r>
      <rPr>
        <sz val="9"/>
        <rFont val="Mirage"/>
        <family val="1"/>
      </rPr>
      <t>:  When used in conjunction with Astrology and for the workings and purposes thereof, and only when so used, Astronomy enables the possessing persona to gain 1 point of Heka per point of Astronomy STEEP.</t>
    </r>
  </si>
  <si>
    <r>
      <t xml:space="preserve">Note 2 </t>
    </r>
    <r>
      <rPr>
        <sz val="9"/>
        <rFont val="Mirage"/>
        <family val="1"/>
      </rPr>
      <t>:  Demonology is the "activator" of Sorcery, and when a Pact (see hereafter) is agreed to and bound, the Sorceror gains a multiplier of Sorcery STEEP of from 2 to 10 plus his Spiritual TRAIT in points of Heka.</t>
    </r>
  </si>
  <si>
    <r>
      <t xml:space="preserve">Note 4 </t>
    </r>
    <r>
      <rPr>
        <sz val="9"/>
        <rFont val="Mirage"/>
        <family val="1"/>
      </rPr>
      <t xml:space="preserve">:  Except for Full Practitioners (Mages and Priests) who are able to use incantation/chanting to accompany their use of Spellsongs Castings, all others must accompany their work of this nature by musical instrument (or sing </t>
    </r>
    <r>
      <rPr>
        <i/>
        <sz val="9"/>
        <rFont val="Mirage"/>
        <family val="1"/>
      </rPr>
      <t>a cappella</t>
    </r>
    <r>
      <rPr>
        <sz val="9"/>
        <rFont val="Mirage"/>
        <family val="1"/>
      </rPr>
      <t xml:space="preserve"> ) through use of their Music K/S Area.  Without the latter ability, all Spellsongs Castings Base Heka Cost is </t>
    </r>
    <r>
      <rPr>
        <i/>
        <sz val="9"/>
        <rFont val="Mirage"/>
        <family val="1"/>
      </rPr>
      <t xml:space="preserve">double  </t>
    </r>
    <r>
      <rPr>
        <sz val="9"/>
        <rFont val="Mirage"/>
        <family val="1"/>
      </rPr>
      <t xml:space="preserve">the amount indicated, and Unique Castings devised as a Spellsongs working are likewise at twice the normal cost.  An individual with both Spellsongs and Music, however, who also has ability in both Musical Composition and Poetry/Lyrics is able to add his STEEP in both of the latter K/S Areas to any </t>
    </r>
    <r>
      <rPr>
        <i/>
        <sz val="9"/>
        <rFont val="Mirage"/>
        <family val="1"/>
      </rPr>
      <t xml:space="preserve">Spellsongs  </t>
    </r>
    <r>
      <rPr>
        <sz val="9"/>
        <rFont val="Mirage"/>
        <family val="1"/>
      </rPr>
      <t>Casting, but this does not apply to other use of such Heka, i.e. the Heka generated from the two Areas can be used only for Spellsongs (cf. Astronomy).</t>
    </r>
  </si>
  <si>
    <r>
      <t xml:space="preserve">Note 5 </t>
    </r>
    <r>
      <rPr>
        <sz val="9"/>
        <rFont val="Mirage"/>
        <family val="1"/>
      </rPr>
      <t>:  If only other Physical-nature Heka is used for Heka Forging activity, then the individual uses the addition of his P TRAIT score rather than the average of PMP and PNP as is normal.  This includes the Yoga K/S even if the persona has sufficient STEEP therein to employ it in Mental or Spiritual uses.</t>
    </r>
  </si>
  <si>
    <r>
      <t xml:space="preserve">Note 6 </t>
    </r>
    <r>
      <rPr>
        <sz val="9"/>
        <rFont val="Mirage"/>
        <family val="1"/>
      </rPr>
      <t xml:space="preserve">:  Priestcræft and Religion (with the Vow [q.v.] required) are necessary for the Full Practitioner (Priest).  In this case the individual gains a 10 time multiplier on his Priestcræft STEEP (or Religion STEEP if the latter is lower than the former) plus his Spiritual TRAIT score in Heka points.  This is very similar to the Dweomercræft-Magick of the Mage (Note 3, above), but there is an important difference.  A Priest must always be of one Ethos, and he may </t>
    </r>
    <r>
      <rPr>
        <i/>
        <sz val="9"/>
        <rFont val="Mirage"/>
        <family val="1"/>
      </rPr>
      <t>never</t>
    </r>
    <r>
      <rPr>
        <sz val="9"/>
        <rFont val="Mirage"/>
        <family val="1"/>
      </rPr>
      <t xml:space="preserve">  gain STEEP in any of the other four Ethoi of Priestcræft.  Because of this it is not possible for the persona to gain other STEEP from Sub-Areas (Ethoi) of Priestcræft (as might a Mage studying other Schools). </t>
    </r>
  </si>
  <si>
    <r>
      <t xml:space="preserve">Note 7 </t>
    </r>
    <r>
      <rPr>
        <sz val="9"/>
        <rFont val="Mirage"/>
        <family val="1"/>
      </rPr>
      <t>:  Witchcræft in practice is enabled through the completion of a Pact (q.v.).  Upon signing a compact, the Witchcræfter gains a multiplier of from 2 to 10 times STEEP and uses the Spiritual Metaphysical CATEGORY on a 1 for 1 basis for additional Heka.</t>
    </r>
  </si>
  <si>
    <r>
      <t xml:space="preserve">Note 8 </t>
    </r>
    <r>
      <rPr>
        <sz val="9"/>
        <rFont val="Mirage"/>
        <family val="1"/>
      </rPr>
      <t>:  Yoga is a unique Area in the respect of the use of the Heka it engenders.  Personas with 33 or less STEEP can apply the Heka they gain from Yoga to Physical uses only (Heka Forging or Endurance).  Those of between 34 and 66 are able to use this Area's Heka either Physical or Mental K/S purposes.  Finally, if 67 or more STEEP points are possessed, then the Heka may be used for any TRAIT working, P, M, or Spiritual.</t>
    </r>
  </si>
  <si>
    <r>
      <t xml:space="preserve">Note 3 </t>
    </r>
    <r>
      <rPr>
        <sz val="9"/>
        <rFont val="Mirage"/>
        <family val="1"/>
      </rPr>
      <t xml:space="preserve">:  Dweomercræft and Magick are the two K/S Areas necessary for Full Practice.  If able to channel full Heka, the persona uses a multiplier of 10 against Dweomercræft (or Magick if that score is lower, i.e. the two Areas must always be equal, or the lower of the two is used).  Magick STEEP (or Dweomercræft, if lower) is simply added to the multiplied STEEP's Heka.  Furthermore, instead of his MM CATEGORY, the Full Practitioner uses Mental TRAIT for additional points of Heka.  Finally, remember that the multiplier and all M TRAIT/CATEGORY additions are used for only the </t>
    </r>
    <r>
      <rPr>
        <i/>
        <sz val="9"/>
        <rFont val="Mirage"/>
        <family val="1"/>
      </rPr>
      <t xml:space="preserve">initial  </t>
    </r>
    <r>
      <rPr>
        <sz val="9"/>
        <rFont val="Mirage"/>
        <family val="1"/>
      </rPr>
      <t>School of Dweomercræft of the persona in question.  However, STEEP gained in any of the other four Schools will count towards Heka generation on a straight 1 for 1 basis with the addition of MMC ATTRIBUTE for each such addition.</t>
    </r>
  </si>
  <si>
    <t>Second DMC School</t>
  </si>
  <si>
    <t xml:space="preserve"> Partial Practice Heka:</t>
  </si>
  <si>
    <t>Full Practice Heka:</t>
  </si>
  <si>
    <t>Hekalite</t>
  </si>
  <si>
    <t>BUC VALUE:</t>
  </si>
  <si>
    <t>M Percept</t>
  </si>
  <si>
    <t>P Percept</t>
  </si>
  <si>
    <r>
      <t xml:space="preserve">NOTE:This sheet is auto-populated from the other sheets -  don't change anything  here except in </t>
    </r>
    <r>
      <rPr>
        <b/>
        <sz val="9"/>
        <color rgb="FF0070C0"/>
        <rFont val="Mirage"/>
        <family val="1"/>
      </rPr>
      <t>Blue STEEP MOD Column</t>
    </r>
    <r>
      <rPr>
        <b/>
        <sz val="9"/>
        <color rgb="FFFF0000"/>
        <rFont val="Mirage"/>
        <family val="1"/>
      </rPr>
      <t>!</t>
    </r>
  </si>
  <si>
    <t xml:space="preserve"> 1 point per STEEP</t>
  </si>
  <si>
    <t>Roll d%, subtract</t>
  </si>
  <si>
    <t>Contents and Instructions</t>
  </si>
  <si>
    <t xml:space="preserve">passes data betweeen some of them to accomplish some minor character automation. </t>
  </si>
  <si>
    <t xml:space="preserve">This workbook contains several sheets that are used to not only hold Heroic Persona data, it also </t>
  </si>
  <si>
    <t>Blank Character sheet,</t>
  </si>
  <si>
    <t>Several sheets for writing castings and descriptions</t>
  </si>
  <si>
    <t>A Tome to track all of your castings in one place</t>
  </si>
  <si>
    <t>A Combat cheat sheet</t>
  </si>
  <si>
    <t>A sheet with New Castings released with Mythus 2025, and a list of useful ones</t>
  </si>
  <si>
    <t>A Heka Generation worksheet</t>
  </si>
  <si>
    <t>A Summoned OP sheet for stats for summoned creatures, minions, &amp; familiars</t>
  </si>
  <si>
    <t>A table of coin values by metal type, and a converter to calculate BUCs from a variety of them</t>
  </si>
  <si>
    <t>A sheet with tables for the costs and typical price of Potions, Poisons, and Heka-Forging (with an outline)</t>
  </si>
  <si>
    <t>Separate tables are included for both Herbalism and Alchemy.</t>
  </si>
  <si>
    <t>And finally, there is a SUMMARY page, that gathers data from your HP sheet and uses it to generate the</t>
  </si>
  <si>
    <t xml:space="preserve">target numbers for your K/S Area rolls in a Difficulty Rating Matrix. The  goal is not just to make your </t>
  </si>
  <si>
    <t xml:space="preserve">life easier, I have my players update their sheet before a game and send me a copy, so I can import the </t>
  </si>
  <si>
    <t>information into my similar Campaign sheet, and have current information in front of me for each HP.</t>
  </si>
  <si>
    <t>Do not fill in boxes outlined in RED, These are calculated for you.</t>
  </si>
  <si>
    <t>Instructions</t>
  </si>
  <si>
    <t xml:space="preserve">The sheets are pretty self-explanatory. Fill in the forms like you would an HP Sheet or a Casting List, avoiding </t>
  </si>
  <si>
    <t>Instructions:</t>
  </si>
  <si>
    <t xml:space="preserve">Use a light background fill for each Casting you have in your various </t>
  </si>
  <si>
    <t>K/S Area spellbooks. Color code them to indicate whether they are Known,</t>
  </si>
  <si>
    <t xml:space="preserve">Recallable or Studyable. I suggest once you are done, copy and paste each </t>
  </si>
  <si>
    <t>Known and Recallable  Casting  into Column N and then collect them and</t>
  </si>
  <si>
    <t>place them into one of the Casting Sheets</t>
  </si>
  <si>
    <t>* Assumes 1oz. coin. 16 coins = 1 pound</t>
  </si>
  <si>
    <t>ENJOY! Please send comments to twisteddave@abervon.com</t>
  </si>
  <si>
    <t>Mult</t>
  </si>
  <si>
    <t>Mental TRAIT K/S Areas:</t>
  </si>
  <si>
    <t xml:space="preserve">    Partial Practitioner</t>
  </si>
  <si>
    <t>Smithing/Welding</t>
  </si>
  <si>
    <t>Casting Used</t>
  </si>
  <si>
    <t>Heka Cost</t>
  </si>
  <si>
    <t>Heka Remaining</t>
  </si>
  <si>
    <t>(Used by Summary Page)</t>
  </si>
  <si>
    <t>Total Available Heka</t>
  </si>
  <si>
    <t>Heka from Pools</t>
  </si>
  <si>
    <t>Heka available to HP</t>
  </si>
  <si>
    <t>*amount comes from HP Sheet</t>
  </si>
  <si>
    <t xml:space="preserve">POOL SUBTOTAL: </t>
  </si>
  <si>
    <t>HEKA FROM K/S:</t>
  </si>
  <si>
    <t>Place  the appropriate value below in the MOD Column</t>
  </si>
  <si>
    <t>Perception, Mental</t>
  </si>
  <si>
    <t>Perception, Physical</t>
  </si>
  <si>
    <t>Boating</t>
  </si>
  <si>
    <t xml:space="preserve">Riding </t>
  </si>
  <si>
    <t>PP</t>
  </si>
  <si>
    <t>FP</t>
  </si>
  <si>
    <t>Heka From K/S</t>
  </si>
  <si>
    <t>Instructions: Enter your STEEP in ONE the PP or FP columns with this color</t>
  </si>
  <si>
    <t>* For K/S Areas with adjusted STEEP for Casting, enter the number from the table to the right in the MOD column above and it will be added. For all non-casting K/S enter appropriate adjustment</t>
  </si>
  <si>
    <t>Move Rate, yards/BT (40+PNSpd):</t>
  </si>
  <si>
    <t>Campaign:</t>
  </si>
  <si>
    <t>Start Date:</t>
  </si>
  <si>
    <t>MYTHUS</t>
  </si>
  <si>
    <t>Heroic Persona:</t>
  </si>
  <si>
    <t>Location:</t>
  </si>
  <si>
    <t>End Date:</t>
  </si>
  <si>
    <t>Heroic Persona Journal</t>
  </si>
  <si>
    <t>Background Information:</t>
  </si>
  <si>
    <t>Purpose:</t>
  </si>
  <si>
    <t>Socio-Economic Class:</t>
  </si>
  <si>
    <t>Entry</t>
  </si>
  <si>
    <t xml:space="preserve">     Date/Time</t>
  </si>
  <si>
    <t>Event/Encounter</t>
  </si>
  <si>
    <t>Outcome</t>
  </si>
  <si>
    <t>Reward/Penalty</t>
  </si>
  <si>
    <t>EQUIPMENT WORN/CARRIED BY HP</t>
  </si>
  <si>
    <t xml:space="preserve">       SPECIAL INFORMATION OR ITEMS ACQUIRED</t>
  </si>
  <si>
    <t xml:space="preserve"> HP DAMAGE</t>
  </si>
  <si>
    <t>Left Side</t>
  </si>
  <si>
    <t>Front/Back</t>
  </si>
  <si>
    <t>Right Side</t>
  </si>
  <si>
    <t>EQUIPMENT ON MOUNT / IN VEHICLE</t>
  </si>
  <si>
    <t>FELLOW ADVENTURERS &amp; SPECIAL CONNECTIONS</t>
  </si>
  <si>
    <t>Vocation</t>
  </si>
  <si>
    <t>Notes</t>
  </si>
  <si>
    <t>Modified 03/28/25</t>
  </si>
  <si>
    <t>Clip, Icon, Token or Sketch of your HP</t>
  </si>
  <si>
    <t>The first Tab after this one (at the botom of the screen), contains pages for (clockwise from upper left)</t>
  </si>
  <si>
    <t>Equipment, such as armor, weapons, gear, etc.</t>
  </si>
  <si>
    <t>A page to keep track of the Castings they may have . There are more casting sheets on another sheet</t>
  </si>
  <si>
    <t>A page to list your Knowledge/Skills, any Sub-Areas, and the amount of Heka these generate for the HP</t>
  </si>
  <si>
    <t xml:space="preserve">Your Heroic Persona's Name, starting money, stats, and some space to be descriptive </t>
  </si>
  <si>
    <t>(That table off to the right? It's used to convert various currencies to BUCs, the Base Unit of Coin)</t>
  </si>
  <si>
    <t>The thing to remember is NOT to enter anything in a square with a red border - these are automated.</t>
  </si>
  <si>
    <t>HPSheet</t>
  </si>
  <si>
    <t>The next tab holds several sheets to list your Castings, with space for The Name, Time, Area, Distance &amp; Effect</t>
  </si>
  <si>
    <t>Currently, none of these have any calculations.</t>
  </si>
  <si>
    <t>Tome</t>
  </si>
  <si>
    <t>This sheet is HUGE, and contains a list of every Casting in the game - over 1650 of them! Ed Anderson</t>
  </si>
  <si>
    <t>the ones you have memorized, by color coding them, Thanks, Ed!</t>
  </si>
  <si>
    <t>Like I said, HUGE, so I'm not including a picture.</t>
  </si>
  <si>
    <t>This sheet has space to list any creature you can summon, from guardians to Familiars, so you  can</t>
  </si>
  <si>
    <t>look up all their information without opening a book and scratching your head.</t>
  </si>
  <si>
    <t>SUMMARY</t>
  </si>
  <si>
    <t>This sheet holds all the results of information and calculations gathered by the spreadsheet file</t>
  </si>
  <si>
    <t>in one place so the most important stuff is right where you need it - stats, movement, avoidance and</t>
  </si>
  <si>
    <t>Summoned OPs</t>
  </si>
  <si>
    <t>Player Log</t>
  </si>
  <si>
    <t>Just because you might want to find a reference to something that happened, a name, or location, or whatever,</t>
  </si>
  <si>
    <t>I created some log sheets. I have my own set of Journey Master logs, and no, they aren’t in color either.</t>
  </si>
  <si>
    <t xml:space="preserve">Combat </t>
  </si>
  <si>
    <t xml:space="preserve">Known, Recall, Readied </t>
  </si>
  <si>
    <t>This tab has information on how to determine the Castings which are Known and Recallable, plus</t>
  </si>
  <si>
    <t>it covers Readied Castings - a way to have three Castings ready for the event of conflict, when you</t>
  </si>
  <si>
    <t>need them most. And trust me, it frustrates your game master as well. When everyone suddenly</t>
  </si>
  <si>
    <t>encounters a big ugly monster, and you don't know where to start. This is the strategy part of</t>
  </si>
  <si>
    <t>roleplaying - Don't be tht person who opens the book to find which Casting you want to use,</t>
  </si>
  <si>
    <t>just  go with it, while the Barbarian wades in with a sword like the meat shield they are…</t>
  </si>
  <si>
    <t>New &amp; Useful Castings</t>
  </si>
  <si>
    <t>In an effort to help everyone who uses Magick (who doesn't?), I've colected a bunch of my personal favorite</t>
  </si>
  <si>
    <t xml:space="preserve">Castings in a list for you. I'm sure you will nod and wonder where I get the time for this, but </t>
  </si>
  <si>
    <t>I also bet you'll see something you might have missed.</t>
  </si>
  <si>
    <t>Heka Generation</t>
  </si>
  <si>
    <t>Figuring out how much Heka your HP has is a pain in the ass, amirite? Well,</t>
  </si>
  <si>
    <t xml:space="preserve">25 % sure, Call it a hunch. Enter the  info in the PP or FP column , and sit back </t>
  </si>
  <si>
    <t>with that smug look that tells the rest of your group that you didn't need to do all that by hand.</t>
  </si>
  <si>
    <t>Money</t>
  </si>
  <si>
    <t>Consumables</t>
  </si>
  <si>
    <t>One thing I worked very hard on recently was Mythus 2025, and rules to include</t>
  </si>
  <si>
    <t xml:space="preserve">potions, poisons, and heka forged items in the game. But hey - if you don't want </t>
  </si>
  <si>
    <t>to sit at home creating goodies, while the rest of the party is out risking  their</t>
  </si>
  <si>
    <t>lives on dubious treasure from irate monsters, I have table that tell you how much</t>
  </si>
  <si>
    <t>they cost to BUY them. You are all loaded, right?</t>
  </si>
  <si>
    <t xml:space="preserve">… and that's it for now. At least until I catch my second wind, and build a fully functional </t>
  </si>
  <si>
    <t xml:space="preserve">HP generator, Random treasure generator, monster and OP factory, and fix the typos </t>
  </si>
  <si>
    <t>for all those Castings on the web site. (https://mythus,abervon.com, BTW.)</t>
  </si>
  <si>
    <r>
      <t xml:space="preserve">Get a hobby, she said. It'll be </t>
    </r>
    <r>
      <rPr>
        <i/>
        <sz val="10"/>
        <rFont val="Mirage"/>
        <family val="1"/>
      </rPr>
      <t>fun</t>
    </r>
    <r>
      <rPr>
        <sz val="10"/>
        <rFont val="Mirage"/>
        <family val="1"/>
      </rPr>
      <t xml:space="preserve"> she said. </t>
    </r>
  </si>
  <si>
    <r>
      <t xml:space="preserve">anything outlined in </t>
    </r>
    <r>
      <rPr>
        <b/>
        <sz val="10"/>
        <color rgb="FFC00000"/>
        <rFont val="Mirage"/>
        <family val="1"/>
      </rPr>
      <t>RED</t>
    </r>
    <r>
      <rPr>
        <sz val="10"/>
        <rFont val="Mirage"/>
        <family val="1"/>
      </rPr>
      <t xml:space="preserve">,and only filling the </t>
    </r>
    <r>
      <rPr>
        <b/>
        <sz val="10"/>
        <color rgb="FF0070C0"/>
        <rFont val="Mirage"/>
        <family val="1"/>
      </rPr>
      <t>BLUE MOD</t>
    </r>
    <r>
      <rPr>
        <sz val="10"/>
        <rFont val="Mirage"/>
        <family val="1"/>
      </rPr>
      <t xml:space="preserve"> column on the Summary sheet. Or, just</t>
    </r>
  </si>
  <si>
    <t>scroll down for a brief preview of the current pages.</t>
  </si>
  <si>
    <t xml:space="preserve">Recallable, and all of the Castings your HP has available in their library - so you can more easily pick </t>
  </si>
  <si>
    <t>I have ideas. Sometimes they are great,sometimes you look</t>
  </si>
  <si>
    <t>back and think, "well, it SEEMED like a good idea at the time."</t>
  </si>
  <si>
    <t>I have been missing writing deadlines for my next novel since</t>
  </si>
  <si>
    <t>like me, are still playing and developing material for Dangerous</t>
  </si>
  <si>
    <t>energy, and of course it was called Heka. All those dead guys</t>
  </si>
  <si>
    <r>
      <t xml:space="preserve">reading this will check them out. The series is called </t>
    </r>
    <r>
      <rPr>
        <b/>
        <sz val="10"/>
        <rFont val="Mirage"/>
        <family val="1"/>
      </rPr>
      <t>The</t>
    </r>
  </si>
  <si>
    <r>
      <rPr>
        <b/>
        <sz val="10"/>
        <rFont val="Mirage"/>
        <family val="1"/>
      </rPr>
      <t>EarthZero Evolution</t>
    </r>
    <r>
      <rPr>
        <sz val="10"/>
        <rFont val="Mirage"/>
        <family val="1"/>
      </rPr>
      <t xml:space="preserve">, and the first book is </t>
    </r>
    <r>
      <rPr>
        <b/>
        <sz val="10"/>
        <rFont val="Mirage"/>
        <family val="1"/>
      </rPr>
      <t>The Lightbringer's</t>
    </r>
  </si>
  <si>
    <t>Anyway, Todd &amp; I had a blast writing them, and I hope some of you</t>
  </si>
  <si>
    <t>If I can ever put some of this down long enough, my next book</t>
  </si>
  <si>
    <t>is a bit of horror, set in rural West Georgia in the latter part of the</t>
  </si>
  <si>
    <t>Dave</t>
  </si>
  <si>
    <t>Rock on,</t>
  </si>
  <si>
    <t>EarthZero Radio (https://earthzero.abervon.com) and publishing at</t>
  </si>
  <si>
    <r>
      <t xml:space="preserve">in pyramids can't be wrong. At least, </t>
    </r>
    <r>
      <rPr>
        <i/>
        <sz val="10"/>
        <rFont val="Mirage"/>
        <family val="1"/>
      </rPr>
      <t>not anymore.</t>
    </r>
  </si>
  <si>
    <r>
      <t>wraps up with</t>
    </r>
    <r>
      <rPr>
        <b/>
        <sz val="10"/>
        <rFont val="Mirage"/>
        <family val="1"/>
      </rPr>
      <t xml:space="preserve"> The Death Horde.</t>
    </r>
  </si>
  <si>
    <r>
      <rPr>
        <b/>
        <sz val="10"/>
        <rFont val="Mirage"/>
        <family val="1"/>
      </rPr>
      <t>Sigil</t>
    </r>
    <r>
      <rPr>
        <sz val="10"/>
        <rFont val="Mirage"/>
        <family val="1"/>
      </rPr>
      <t xml:space="preserve">.  The 2nd book is </t>
    </r>
    <r>
      <rPr>
        <b/>
        <sz val="10"/>
        <rFont val="Mirage"/>
        <family val="1"/>
      </rPr>
      <t>The Anshadar Effect</t>
    </r>
    <r>
      <rPr>
        <sz val="10"/>
        <rFont val="Mirage"/>
        <family val="1"/>
      </rPr>
      <t>, and the series</t>
    </r>
  </si>
  <si>
    <t>Sidebar - what's next? A shameless plug, of course!</t>
  </si>
  <si>
    <t>Anshadar (https://anshadar.com). Catch ya later!</t>
  </si>
  <si>
    <r>
      <t xml:space="preserve">Available from </t>
    </r>
    <r>
      <rPr>
        <i/>
        <sz val="10"/>
        <rFont val="Mirage"/>
        <family val="1"/>
      </rPr>
      <t>Amazon,</t>
    </r>
    <r>
      <rPr>
        <sz val="10"/>
        <rFont val="Mirage"/>
        <family val="1"/>
      </rPr>
      <t xml:space="preserve"> </t>
    </r>
    <r>
      <rPr>
        <i/>
        <sz val="10"/>
        <rFont val="Mirage"/>
        <family val="1"/>
      </rPr>
      <t>B&amp;N</t>
    </r>
    <r>
      <rPr>
        <sz val="10"/>
        <rFont val="Mirage"/>
        <family val="1"/>
      </rPr>
      <t>, and other fine ebook sellers.</t>
    </r>
  </si>
  <si>
    <t>My new Mythus campaign is ramping up. Wanna play? Write me.</t>
  </si>
  <si>
    <t>20th century.  Meanwhile, I'm still running my radio station,</t>
  </si>
  <si>
    <r>
      <t>last September. I have tools, and pages (</t>
    </r>
    <r>
      <rPr>
        <i/>
        <sz val="9"/>
        <rFont val="Mirage"/>
        <family val="1"/>
      </rPr>
      <t>no, Dave. You have volumes</t>
    </r>
  </si>
  <si>
    <r>
      <rPr>
        <i/>
        <sz val="9"/>
        <rFont val="Mirage"/>
        <family val="1"/>
      </rPr>
      <t>of game related ideas that you just can't let go of</t>
    </r>
    <r>
      <rPr>
        <sz val="10"/>
        <rFont val="Mirage"/>
        <family val="1"/>
      </rPr>
      <t>.) Now that I've</t>
    </r>
  </si>
  <si>
    <t>Casting Sheets</t>
  </si>
  <si>
    <t>There are many ways to do this, and I have given you several different sheets. Pick those you like best</t>
  </si>
  <si>
    <t>had this great idea that if you had ONE sheet that lists all of the schools, you could highlight the Known,</t>
  </si>
  <si>
    <t>all of your K/S Areas and the target numbers in a computed matrix for each Difficulty, all in beautiful rainbow colors.</t>
  </si>
  <si>
    <t>So when the Journey Master wants a roll against Perception (Noticing) and a DR of Difficult, you have it!</t>
  </si>
  <si>
    <t>not so much now - this automated tab takes your appropriate K/S STEEP, adds</t>
  </si>
  <si>
    <t>it to the appropriate Attributes, totals it all and is 99.9999% accurate. At least I'm</t>
  </si>
  <si>
    <t>This tab contains an outline of the Combat process, with information about combat, initiative, actions, and avoidance.</t>
  </si>
  <si>
    <t>got my finger on the pulse of some of  you die-hard fans who,</t>
  </si>
  <si>
    <t xml:space="preserve">simulated reality, and I was thrilled to include a version of magickal </t>
  </si>
  <si>
    <t xml:space="preserve">Journeys, I'm not done. Hell, I just wrapped up a trilogy based on </t>
  </si>
  <si>
    <t>Crystalized Anima of the dead/dying. A product of Shadow, steals light when exposed to fear.</t>
  </si>
  <si>
    <t>* The stone is already prepared,</t>
  </si>
  <si>
    <t>Provides carats and Heka modifier for uncut/cut/prepared stones</t>
  </si>
  <si>
    <t>This tells the Item Quality. Heka/carat, and DR to Increase Quality</t>
  </si>
  <si>
    <t>14-110  (d%+13)</t>
  </si>
  <si>
    <t>Gemstones</t>
  </si>
  <si>
    <t>1. Determine availability of stone by quality</t>
  </si>
  <si>
    <t>2. Determine whether stone is uncut</t>
  </si>
  <si>
    <t>3. Determine size of stone</t>
  </si>
  <si>
    <t xml:space="preserve">Only uncut stones may be prepared as Aegis. </t>
  </si>
  <si>
    <t xml:space="preserve">All stone variations may be found in treasure. </t>
  </si>
  <si>
    <t>Amount</t>
  </si>
  <si>
    <t>Nature Remedy</t>
  </si>
  <si>
    <t>Comfort</t>
  </si>
  <si>
    <t>Pleasant Dreams</t>
  </si>
  <si>
    <t>Hospice</t>
  </si>
  <si>
    <t>Sustenance</t>
  </si>
  <si>
    <t>Healing, Minor</t>
  </si>
  <si>
    <t>Aerthmother</t>
  </si>
  <si>
    <t>Floraform</t>
  </si>
  <si>
    <t>Rainbow Spectrum</t>
  </si>
  <si>
    <t>Light of the Avatar</t>
  </si>
  <si>
    <t>Influence of Cancer</t>
  </si>
  <si>
    <t>Healing Infusion</t>
  </si>
  <si>
    <t>Regeneration</t>
  </si>
  <si>
    <t>Rejuvenation</t>
  </si>
  <si>
    <t>Healing Spirit</t>
  </si>
  <si>
    <t>Faith Healing</t>
  </si>
  <si>
    <t>Sleepheal</t>
  </si>
  <si>
    <t>Spellsongs</t>
  </si>
  <si>
    <t>Myticism</t>
  </si>
  <si>
    <t>Healing Poultice</t>
  </si>
  <si>
    <t>Sunlight</t>
  </si>
  <si>
    <t>Moonlight</t>
  </si>
  <si>
    <t>special</t>
  </si>
  <si>
    <t>remedies all forms</t>
  </si>
  <si>
    <t>doubles healing rate</t>
  </si>
  <si>
    <t>1AT= full night's rest</t>
  </si>
  <si>
    <t>Healing, Major</t>
  </si>
  <si>
    <t>PD</t>
  </si>
  <si>
    <t>5d3/10 STEEP</t>
  </si>
  <si>
    <t>PC, Basic</t>
  </si>
  <si>
    <t>Resurrection</t>
  </si>
  <si>
    <t>All</t>
  </si>
  <si>
    <t>Full healing</t>
  </si>
  <si>
    <t>1 hr = 1 day</t>
  </si>
  <si>
    <t>Psychic Balm</t>
  </si>
  <si>
    <t>1 point per STEEP for either</t>
  </si>
  <si>
    <t xml:space="preserve">Heal </t>
  </si>
  <si>
    <t>Heals and cures</t>
  </si>
  <si>
    <t>M,P,S</t>
  </si>
  <si>
    <t>1d6+1 per T for ea CT</t>
  </si>
  <si>
    <t>Restoration</t>
  </si>
  <si>
    <t>M,S</t>
  </si>
  <si>
    <t>dbl restoratn,heal rate &amp; heka recovery</t>
  </si>
  <si>
    <t>M, P,S</t>
  </si>
  <si>
    <t>dbl all healing rater</t>
  </si>
  <si>
    <t>2d6 + dbl healing</t>
  </si>
  <si>
    <t>4d6</t>
  </si>
  <si>
    <t>2d10+2</t>
  </si>
  <si>
    <t>dbl healing rate</t>
  </si>
  <si>
    <t>Safesleep</t>
  </si>
  <si>
    <t>triple heal &amp; Heka recovery</t>
  </si>
  <si>
    <t>1PD per BT for half 10s of STEEP</t>
  </si>
  <si>
    <t>up to 9d6 heal equally divided</t>
  </si>
  <si>
    <t>2d3/10 STEEP</t>
  </si>
  <si>
    <t>Prime Rate</t>
  </si>
  <si>
    <t>Secondary Rate</t>
  </si>
  <si>
    <t>18 – 26</t>
  </si>
  <si>
    <t>27 – 38</t>
  </si>
  <si>
    <t>39 – 50</t>
  </si>
  <si>
    <t>* Points gained per 24-hour period.</t>
  </si>
  <si>
    <t>A successful First Aid roll can also remove 1D10 points of Physical damage taken, or twice that for a Special Success</t>
  </si>
  <si>
    <t>a successful treatment (if there's time) will kill a number of Poison Strength points equal to the user's STEEP</t>
  </si>
  <si>
    <t>Normal Healing Rates*</t>
  </si>
  <si>
    <t>First Aid K/S Area</t>
  </si>
  <si>
    <t>Can stop the effects of Poison with antidote up to STR less than or equal to First Aid STEEP</t>
  </si>
  <si>
    <t>Herbalist</t>
  </si>
  <si>
    <t>Mystic</t>
  </si>
  <si>
    <t>Medicine, Oriental</t>
  </si>
  <si>
    <t>2 points/12 hrs.</t>
  </si>
  <si>
    <t>2d6 damage using crystal</t>
  </si>
  <si>
    <t>Double normal rate</t>
  </si>
  <si>
    <t>Note that armor provides no protection against impact damage other than that provided by Heka., and that all such damage should be multiplied by a 1D3 (not 1D6) Exposure Roll.</t>
  </si>
  <si>
    <t>(top 62 sub areas linked to table at right -&gt; )</t>
  </si>
  <si>
    <t>Linearicons-free</t>
  </si>
  <si>
    <t></t>
  </si>
  <si>
    <t>Yes</t>
  </si>
  <si>
    <t></t>
  </si>
  <si>
    <t>No</t>
  </si>
  <si>
    <t></t>
  </si>
  <si>
    <t>Up</t>
  </si>
  <si>
    <t></t>
  </si>
  <si>
    <t>Down</t>
  </si>
  <si>
    <t></t>
  </si>
  <si>
    <t>Left</t>
  </si>
  <si>
    <t></t>
  </si>
  <si>
    <t>Right</t>
  </si>
  <si>
    <t>Camping/Traveling:</t>
  </si>
  <si>
    <t></t>
  </si>
  <si>
    <t>Daytime</t>
  </si>
  <si>
    <t></t>
  </si>
  <si>
    <t>Nighttime</t>
  </si>
  <si>
    <t></t>
  </si>
  <si>
    <t>Daern's Fortress</t>
  </si>
  <si>
    <t></t>
  </si>
  <si>
    <t>Map</t>
  </si>
  <si>
    <t></t>
  </si>
  <si>
    <t>Magic</t>
  </si>
  <si>
    <t>֎</t>
  </si>
  <si>
    <t>Marker</t>
  </si>
  <si>
    <t>font:</t>
  </si>
  <si>
    <t>bonus</t>
  </si>
  <si>
    <t>total</t>
  </si>
  <si>
    <t>loc mod</t>
  </si>
  <si>
    <t>full dmg</t>
  </si>
  <si>
    <t>d3 die</t>
  </si>
  <si>
    <t>d6 die</t>
  </si>
  <si>
    <t>Location</t>
  </si>
  <si>
    <t>Combat, Hand (staff)</t>
  </si>
  <si>
    <t>3d6+4</t>
  </si>
  <si>
    <t>#Atks</t>
  </si>
  <si>
    <t>Full dmg</t>
  </si>
  <si>
    <t>1d3</t>
  </si>
  <si>
    <t>Impact</t>
  </si>
  <si>
    <t>1d6</t>
  </si>
  <si>
    <t>Piercing</t>
  </si>
  <si>
    <t>P TRAIT</t>
  </si>
  <si>
    <t>M TRAIT</t>
  </si>
  <si>
    <t>S TRAIT</t>
  </si>
  <si>
    <t>Starting</t>
  </si>
  <si>
    <t>Current</t>
  </si>
  <si>
    <t>Damage Taken</t>
  </si>
  <si>
    <t>Cumulative</t>
  </si>
  <si>
    <t>1st hit</t>
  </si>
  <si>
    <t>2nd hit</t>
  </si>
  <si>
    <t>3rd hit</t>
  </si>
  <si>
    <t>4th hit</t>
  </si>
  <si>
    <t>5th hit</t>
  </si>
  <si>
    <t>Magickal:</t>
  </si>
  <si>
    <t>Non-Magickal:</t>
  </si>
  <si>
    <t>Starting Armor/Protectives</t>
  </si>
  <si>
    <t>Current Armor/Protectives</t>
  </si>
  <si>
    <t>Charm</t>
  </si>
  <si>
    <t>Mental Damage</t>
  </si>
  <si>
    <t>Mental Armor</t>
  </si>
  <si>
    <t>Spiritual Armor</t>
  </si>
  <si>
    <t>enter damage amount</t>
  </si>
  <si>
    <t>if magickal dmg, subtract from magick armor</t>
  </si>
  <si>
    <t>If magcik armor &gt;1, EXIT</t>
  </si>
  <si>
    <t>if magick armor &lt;1 subtract remainder from NM armor</t>
  </si>
  <si>
    <t xml:space="preserve">if nm  &gt;1, EXIT </t>
  </si>
  <si>
    <t>if nm &lt;1 subtract remainder from P TRAIT</t>
  </si>
  <si>
    <t>If P TRAIT &gt; 1, EXIT</t>
  </si>
  <si>
    <t>If P TRAIT &lt; 1, UH-OH</t>
  </si>
  <si>
    <t>if nm damage, check if HP has magickal armor</t>
  </si>
  <si>
    <t>if magick armor &lt;1 subtract  from NM armor</t>
  </si>
  <si>
    <t>Combat - Damage taken</t>
  </si>
  <si>
    <t>Enchanted Armor</t>
  </si>
  <si>
    <t>Non-magick armor</t>
  </si>
  <si>
    <t>Physical Dmg</t>
  </si>
  <si>
    <t>Spiritual Dmg</t>
  </si>
  <si>
    <t>Each time the HP takes damage, enter it in thehit boxes for the appropriate type (P,M,S)</t>
  </si>
  <si>
    <t>Heka Regeneration per Hour*</t>
  </si>
  <si>
    <t>Mounted walk</t>
  </si>
  <si>
    <t>Wagon (riding)</t>
  </si>
  <si>
    <t>Rest (distractions)</t>
  </si>
  <si>
    <t>Rest (quiet)</t>
  </si>
  <si>
    <t>Prayer/Meditation</t>
  </si>
  <si>
    <t>Sleeping</t>
  </si>
  <si>
    <t>Trance</t>
  </si>
  <si>
    <t xml:space="preserve"> * HPs that have a Vow or are Full Practice DOUBLE the Regeneration rate!</t>
  </si>
  <si>
    <t>Version 6</t>
  </si>
  <si>
    <t>Dave Newton 2025 v6</t>
  </si>
  <si>
    <t>Automated HP Sheet</t>
  </si>
  <si>
    <r>
      <rPr>
        <sz val="9"/>
        <color rgb="FF002060"/>
        <rFont val="Mirage"/>
        <family val="1"/>
      </rPr>
      <t>by</t>
    </r>
    <r>
      <rPr>
        <sz val="11"/>
        <color rgb="FF002060"/>
        <rFont val="Mirage"/>
        <family val="1"/>
      </rPr>
      <t xml:space="preserve"> Dave Newton</t>
    </r>
  </si>
  <si>
    <t xml:space="preserve">Unless you download this font, you might not </t>
  </si>
  <si>
    <t xml:space="preserve">be able to use the icons, but several of the fonts </t>
  </si>
  <si>
    <t xml:space="preserve">in windows have icons included, if you  look </t>
  </si>
  <si>
    <t>in the Character Map</t>
  </si>
  <si>
    <r>
      <t xml:space="preserve">Charm and Control </t>
    </r>
    <r>
      <rPr>
        <i/>
        <sz val="9"/>
        <rFont val="Mirage"/>
        <family val="1"/>
      </rPr>
      <t>effects</t>
    </r>
  </si>
  <si>
    <r>
      <t xml:space="preserve">Fear or Confusion </t>
    </r>
    <r>
      <rPr>
        <i/>
        <sz val="9"/>
        <rFont val="Mirage"/>
        <family val="1"/>
      </rPr>
      <t>effects</t>
    </r>
  </si>
  <si>
    <t>K/S Areas that heal</t>
  </si>
  <si>
    <t>Persona's PM Category</t>
  </si>
  <si>
    <t>Useful Casting List for Heroic Personas</t>
  </si>
  <si>
    <r>
      <t>Useful Casting List for OPs, EPs &amp; Others of Questionable Morals</t>
    </r>
    <r>
      <rPr>
        <b/>
        <i/>
        <sz val="10"/>
        <color rgb="FFC00000"/>
        <rFont val="Mirage"/>
        <family val="1"/>
      </rPr>
      <t xml:space="preserve"> (i.e., For Evil Personas</t>
    </r>
    <r>
      <rPr>
        <b/>
        <sz val="10"/>
        <rFont val="Mirage"/>
        <family val="1"/>
      </rPr>
      <t>)</t>
    </r>
  </si>
  <si>
    <t>Sorcery</t>
  </si>
  <si>
    <t>Witchcraeft</t>
  </si>
  <si>
    <t>PCFT, Shadowy</t>
  </si>
  <si>
    <t>Heka-Forging</t>
  </si>
  <si>
    <t>Causes humanoids to view caster as comrade</t>
  </si>
  <si>
    <t>Net Worth Calculator</t>
  </si>
  <si>
    <t>Bank Accounts</t>
  </si>
  <si>
    <t>Disposable Monthly Income</t>
  </si>
  <si>
    <t>Cash on Hand</t>
  </si>
  <si>
    <t>HP Wealth (BUCs)</t>
  </si>
  <si>
    <t>Value of Mount</t>
  </si>
  <si>
    <t>none</t>
  </si>
  <si>
    <t>Mount's P Trait</t>
  </si>
  <si>
    <t>Clothes</t>
  </si>
  <si>
    <t>Transportation</t>
  </si>
  <si>
    <t>Miscellaneous</t>
  </si>
  <si>
    <t>area below under the label HP Wealth (BUCs) and chose Paste Special (Values)</t>
  </si>
  <si>
    <t>HP SEC:</t>
  </si>
  <si>
    <r>
      <t xml:space="preserve">Locate the column to your right for your SEC. Copy the </t>
    </r>
    <r>
      <rPr>
        <i/>
        <sz val="10"/>
        <rFont val="Mirage"/>
        <family val="1"/>
      </rPr>
      <t>values</t>
    </r>
    <r>
      <rPr>
        <sz val="10"/>
        <rFont val="Mirage"/>
        <family val="1"/>
      </rPr>
      <t xml:space="preserve"> for Net Worth, Bank Accounts,</t>
    </r>
  </si>
  <si>
    <t>Disposable Monthly Income, And Cash on Hand, selecting all cells at once. Then select the boxed</t>
  </si>
  <si>
    <r>
      <t xml:space="preserve">1) Enter your SEC in the area labeled </t>
    </r>
    <r>
      <rPr>
        <b/>
        <sz val="10"/>
        <rFont val="Mirage"/>
        <family val="1"/>
      </rPr>
      <t>HP SEC. The page will calculate values in the table</t>
    </r>
  </si>
  <si>
    <t>Possession Category</t>
  </si>
  <si>
    <t>Housing/ Dwelling</t>
  </si>
  <si>
    <t>Weapons/Armor</t>
  </si>
  <si>
    <t>Starting Values</t>
  </si>
  <si>
    <t>HP Wealth (BUCs) Working Copy</t>
  </si>
  <si>
    <t>Possessions</t>
  </si>
  <si>
    <t>Total Value of Posessions</t>
  </si>
  <si>
    <t>Amount after subtracting from Bank Account</t>
  </si>
  <si>
    <t>2)  Next, subtract the Some (or all) of the money in in your Bank Account from your Net Worth and list out how much of that is going to each of the Possession Categories in the table below</t>
  </si>
  <si>
    <t>&lt;--  Amount Used From Bank:</t>
  </si>
  <si>
    <t>(Any left over can go back to the Bank, or listed as extra Cash)</t>
  </si>
  <si>
    <t>Belt</t>
  </si>
  <si>
    <t>Boots, high, hard</t>
  </si>
  <si>
    <t>Boots, high, soft (or fine shoes)</t>
  </si>
  <si>
    <t>Boots, low, hard</t>
  </si>
  <si>
    <t>Boots, low, soft (or shoes)</t>
  </si>
  <si>
    <t>Cap</t>
  </si>
  <si>
    <t>Cloak</t>
  </si>
  <si>
    <t>Girdle, broad</t>
  </si>
  <si>
    <t>Girdle, normal</t>
  </si>
  <si>
    <t>Hat</t>
  </si>
  <si>
    <t>Robe</t>
  </si>
  <si>
    <t>Cape</t>
  </si>
  <si>
    <t>Cloth, cotton, bolt</t>
  </si>
  <si>
    <t>Cloth, linen, bolt</t>
  </si>
  <si>
    <t>Cloth, wool, bolt</t>
  </si>
  <si>
    <t>Dress</t>
  </si>
  <si>
    <t>Clothing Table</t>
  </si>
  <si>
    <t>Gloves, cloth</t>
  </si>
  <si>
    <t>5 – 10</t>
  </si>
  <si>
    <t>Gloves, leather</t>
  </si>
  <si>
    <t>25 – 50</t>
  </si>
  <si>
    <t>Needle, Sewing</t>
  </si>
  <si>
    <t>Scissors</t>
  </si>
  <si>
    <t>Shirt/blouse</t>
  </si>
  <si>
    <t>Thread, 1 spool</t>
  </si>
  <si>
    <t>Trousers/skirt</t>
  </si>
  <si>
    <t>Beeswax, 1 pound</t>
  </si>
  <si>
    <t>Chicken</t>
  </si>
  <si>
    <t>Cow</t>
  </si>
  <si>
    <t>Dog, guard</t>
  </si>
  <si>
    <t>Dog, hunting</t>
  </si>
  <si>
    <t>Goat</t>
  </si>
  <si>
    <t>Hawk, large</t>
  </si>
  <si>
    <t>Hawk, small</t>
  </si>
  <si>
    <t>Ox</t>
  </si>
  <si>
    <t>Pig</t>
  </si>
  <si>
    <t>Pigeon</t>
  </si>
  <si>
    <t>Piglet</t>
  </si>
  <si>
    <t>Sheep</t>
  </si>
  <si>
    <t>Songbird</t>
  </si>
  <si>
    <t>10+</t>
  </si>
  <si>
    <t>Thieve's items</t>
  </si>
  <si>
    <t>Livestock</t>
  </si>
  <si>
    <t>Bit and bridle</t>
  </si>
  <si>
    <t>75 – 150</t>
  </si>
  <si>
    <t>Harness</t>
  </si>
  <si>
    <t>30 – 60</t>
  </si>
  <si>
    <t>Saddle</t>
  </si>
  <si>
    <t>200 – 1,000</t>
  </si>
  <si>
    <t>Saddlebags, large</t>
  </si>
  <si>
    <t>50 – 250</t>
  </si>
  <si>
    <t>Saddlebags, small</t>
  </si>
  <si>
    <t>30 – 150</t>
  </si>
  <si>
    <t>Saddle blanket</t>
  </si>
  <si>
    <t>Beaver, pelt</t>
  </si>
  <si>
    <t>Ermine, pelt</t>
  </si>
  <si>
    <t>Fox, pelt</t>
  </si>
  <si>
    <t>Marten, pelt</t>
  </si>
  <si>
    <t>Mink, pelt</t>
  </si>
  <si>
    <t>Muskrat, pelt</t>
  </si>
  <si>
    <t>Sable, pelt</t>
  </si>
  <si>
    <t>Seal, pelt</t>
  </si>
  <si>
    <t>Drum</t>
  </si>
  <si>
    <t>50 – 500</t>
  </si>
  <si>
    <t>Fife</t>
  </si>
  <si>
    <t>Flute</t>
  </si>
  <si>
    <t>Gong</t>
  </si>
  <si>
    <t>Horn</t>
  </si>
  <si>
    <t>75 – 750</t>
  </si>
  <si>
    <t>Lute</t>
  </si>
  <si>
    <t>100 – 1,000</t>
  </si>
  <si>
    <t>Pipes</t>
  </si>
  <si>
    <t>Recorder</t>
  </si>
  <si>
    <t>50 - 500</t>
  </si>
  <si>
    <t>Ale or beer, pint</t>
  </si>
  <si>
    <t>1 – 3</t>
  </si>
  <si>
    <t>Brandy, pint</t>
  </si>
  <si>
    <t>3 – 15</t>
  </si>
  <si>
    <t>Bread, loaf</t>
  </si>
  <si>
    <t>0.5 – 1</t>
  </si>
  <si>
    <t>Flour, 10-lb sack</t>
  </si>
  <si>
    <t>Grain, horse meal, 1 day</t>
  </si>
  <si>
    <t>Rations, standard, 1 week</t>
  </si>
  <si>
    <t>Rum, pint</t>
  </si>
  <si>
    <t>Wine, quart, good</t>
  </si>
  <si>
    <t>Wine, quart, watered</t>
  </si>
  <si>
    <t>Bench, wooden</t>
  </si>
  <si>
    <t>Bowl, pewter</t>
  </si>
  <si>
    <t>Bowl, pottery</t>
  </si>
  <si>
    <t>Carpet, small</t>
  </si>
  <si>
    <t>Chair, wooden</t>
  </si>
  <si>
    <t>Cup, pewter</t>
  </si>
  <si>
    <t>Cup, pottery</t>
  </si>
  <si>
    <t>Curtains/drapes</t>
  </si>
  <si>
    <t>25 – 100</t>
  </si>
  <si>
    <t>Cushion</t>
  </si>
  <si>
    <t>5 – 25</t>
  </si>
  <si>
    <t>Cutlery, copper</t>
  </si>
  <si>
    <t>Cutlery, pewter</t>
  </si>
  <si>
    <t>Decanter, crystal</t>
  </si>
  <si>
    <t>Goblet, pewter</t>
  </si>
  <si>
    <t>Mattress, straw-filled</t>
  </si>
  <si>
    <t>Mattress, down-filled</t>
  </si>
  <si>
    <t>Pillow, feather</t>
  </si>
  <si>
    <t>Plate, pewter</t>
  </si>
  <si>
    <t>Plate, pottery</t>
  </si>
  <si>
    <t>Sconce, wall</t>
  </si>
  <si>
    <t>Stool</t>
  </si>
  <si>
    <t>Table</t>
  </si>
  <si>
    <t>Backpack, leather</t>
  </si>
  <si>
    <t>Bag</t>
  </si>
  <si>
    <t>Barrel</t>
  </si>
  <si>
    <t>Basket, large (bushel)</t>
  </si>
  <si>
    <t>Basket, small</t>
  </si>
  <si>
    <t>Bird cage</t>
  </si>
  <si>
    <t>20 – 100</t>
  </si>
  <si>
    <t>Blanket</t>
  </si>
  <si>
    <t>10 – 25</t>
  </si>
  <si>
    <t>Bucket/pail</t>
  </si>
  <si>
    <t>5 – 20</t>
  </si>
  <si>
    <t>Candle snuffer</t>
  </si>
  <si>
    <t>Candle, tallow</t>
  </si>
  <si>
    <t>Candle, wax</t>
  </si>
  <si>
    <t>Cask</t>
  </si>
  <si>
    <t>Chain, iron, heavy</t>
  </si>
  <si>
    <t>1/foot</t>
  </si>
  <si>
    <t>Chain, iron, light</t>
  </si>
  <si>
    <t>0.5/foot</t>
  </si>
  <si>
    <t>Chain, iron, medium</t>
  </si>
  <si>
    <t>0.75/foot</t>
  </si>
  <si>
    <t>Charcoal, 10-lb. bag</t>
  </si>
  <si>
    <t>Chest, wooden, large</t>
  </si>
  <si>
    <t>Chest, wooden, small</t>
  </si>
  <si>
    <t>Coal, 10-lb. bag</t>
  </si>
  <si>
    <t>Comb</t>
  </si>
  <si>
    <t>Dice/knucklebones, 1 pair</t>
  </si>
  <si>
    <t>Grindstone</t>
  </si>
  <si>
    <t>Hacksaw</t>
  </si>
  <si>
    <t>Hairbrush</t>
  </si>
  <si>
    <t>Jar</t>
  </si>
  <si>
    <t>Jug</t>
  </si>
  <si>
    <t>Keg</t>
  </si>
  <si>
    <t>Ladder, 15’</t>
  </si>
  <si>
    <t>Lamp, oil</t>
  </si>
  <si>
    <t>Lantern, hooded</t>
  </si>
  <si>
    <t>Lard, pint</t>
  </si>
  <si>
    <t>Nails, iron, 100</t>
  </si>
  <si>
    <t>Oil, lamp, quart</t>
  </si>
  <si>
    <t>Padlock &amp; key</t>
  </si>
  <si>
    <t>Paintbrush, medium-large</t>
  </si>
  <si>
    <t>Paint, 1 gallon</t>
  </si>
  <si>
    <t>Pepper, pound</t>
  </si>
  <si>
    <t>Pick axe, mining</t>
  </si>
  <si>
    <t>Pipe, smoking</t>
  </si>
  <si>
    <t>Pipeweed/tobacco, 8 oz. pouch</t>
  </si>
  <si>
    <t>Pole, 10’</t>
  </si>
  <si>
    <t>Pouch, belt, large</t>
  </si>
  <si>
    <t>Pouch, belt, small</t>
  </si>
  <si>
    <t>Powder, chalk</t>
  </si>
  <si>
    <t>Pulley</t>
  </si>
  <si>
    <t>Quilt</t>
  </si>
  <si>
    <t>50 – 150</t>
  </si>
  <si>
    <t>Quiver, 1 doz, arrows cap.</t>
  </si>
  <si>
    <t>Quiver, 1 score arrows cap.</t>
  </si>
  <si>
    <t>Quiver, 1 score bolts cap.</t>
  </si>
  <si>
    <t>Quiver, 2 score bolts cap.</t>
  </si>
  <si>
    <t>Rope, 50’</t>
  </si>
  <si>
    <t>Sack, large</t>
  </si>
  <si>
    <t>Sack, small</t>
  </si>
  <si>
    <t>Salt, pound</t>
  </si>
  <si>
    <t>1 – 5</t>
  </si>
  <si>
    <t>Scabbard, broad</t>
  </si>
  <si>
    <t>Scabbard, long</t>
  </si>
  <si>
    <t>Scabbard, short</t>
  </si>
  <si>
    <t>Scabbard, sword, bastard</t>
  </si>
  <si>
    <t>Sheath, dagger or knife</t>
  </si>
  <si>
    <t>Skin for water or wine</t>
  </si>
  <si>
    <t>Soap, 8 oz. bar</t>
  </si>
  <si>
    <t>Spade/shovel</t>
  </si>
  <si>
    <t>Spike, iron, large</t>
  </si>
  <si>
    <t>String, 50’</t>
  </si>
  <si>
    <t>Tinderbox, with flint &amp; steel</t>
  </si>
  <si>
    <t>Torch</t>
  </si>
  <si>
    <t>Whetstone</t>
  </si>
  <si>
    <t>Whistle</t>
  </si>
  <si>
    <t>Tack</t>
  </si>
  <si>
    <t>Fur</t>
  </si>
  <si>
    <t>Musical Instruments</t>
  </si>
  <si>
    <t>Provisions</t>
  </si>
  <si>
    <t>Furniture</t>
  </si>
  <si>
    <t xml:space="preserve">STANDARD ITEMS </t>
  </si>
  <si>
    <t>Beaver, cape or jacket</t>
  </si>
  <si>
    <t>Beaver, coat</t>
  </si>
  <si>
    <t>Beaver, trimming on garment</t>
  </si>
  <si>
    <t>Ermine, cape or jacket</t>
  </si>
  <si>
    <t>Ermine, coat</t>
  </si>
  <si>
    <t>Ermine, trimming on garment</t>
  </si>
  <si>
    <t>Fox, cape or jacket</t>
  </si>
  <si>
    <t>Fox, coat</t>
  </si>
  <si>
    <t>Fox, trimming on garment</t>
  </si>
  <si>
    <t>Marten, cape or jacket</t>
  </si>
  <si>
    <t>Marten, coat</t>
  </si>
  <si>
    <t>Marten, trimming on garment</t>
  </si>
  <si>
    <t>Mink, cape or jacket</t>
  </si>
  <si>
    <t>Mink, coat</t>
  </si>
  <si>
    <t>Mink, trimming on garment</t>
  </si>
  <si>
    <t>Muskrat, cape or jacket</t>
  </si>
  <si>
    <t>Muskrat, coat</t>
  </si>
  <si>
    <t>Muskrat, trimming on garment</t>
  </si>
  <si>
    <t>Sable, cape or jacket</t>
  </si>
  <si>
    <t>Sable, coat</t>
  </si>
  <si>
    <t>Sable, trimming on garment</t>
  </si>
  <si>
    <t>Seal, cape or jacket</t>
  </si>
  <si>
    <t>Seal, coat</t>
  </si>
  <si>
    <t>Seal, trimming on garment</t>
  </si>
  <si>
    <t>Beacon</t>
  </si>
  <si>
    <t>Bell, large</t>
  </si>
  <si>
    <t>1,000 – 5,000</t>
  </si>
  <si>
    <t>Bottle or flask</t>
  </si>
  <si>
    <t>2 – 20</t>
  </si>
  <si>
    <t>Box, iron, large</t>
  </si>
  <si>
    <t>300 – 600</t>
  </si>
  <si>
    <t>Box, iron, small</t>
  </si>
  <si>
    <t>100 – 300</t>
  </si>
  <si>
    <t>Chain, iron, fine, small, foot</t>
  </si>
  <si>
    <t>Crampons, each</t>
  </si>
  <si>
    <t>Crowbar</t>
  </si>
  <si>
    <t>Dice/knucklebones, 1 pair, loaded</t>
  </si>
  <si>
    <t>Drill, iron</t>
  </si>
  <si>
    <t>Glue, 8 oz. pot</t>
  </si>
  <si>
    <t>Grapnel</t>
  </si>
  <si>
    <t>Grappling hook (for ships)</t>
  </si>
  <si>
    <t>Lantern, bull’s-eye</t>
  </si>
  <si>
    <t>Lantern, waterproof</t>
  </si>
  <si>
    <t>Manacles, pair &amp; key</t>
  </si>
  <si>
    <t>Metal file</t>
  </si>
  <si>
    <t>Mirror, large metal</t>
  </si>
  <si>
    <t>Oil, waterproofing, pint</t>
  </si>
  <si>
    <t>Padlock w/poison reservoir &amp; key</t>
  </si>
  <si>
    <t>Pliers</t>
  </si>
  <si>
    <t>Bandore</t>
  </si>
  <si>
    <t>150 – 750</t>
  </si>
  <si>
    <t>Chime</t>
  </si>
  <si>
    <t>Harp</t>
  </si>
  <si>
    <t>500 – 5,000</t>
  </si>
  <si>
    <t>Lyre</t>
  </si>
  <si>
    <t>275 – 3,000</t>
  </si>
  <si>
    <t>Mandolin</t>
  </si>
  <si>
    <t>280 – 4,000</t>
  </si>
  <si>
    <t>Rebec &amp; bow</t>
  </si>
  <si>
    <t>300 – 3,500</t>
  </si>
  <si>
    <t>Armchair, padded</t>
  </si>
  <si>
    <t>Armchair, wooden</t>
  </si>
  <si>
    <t>Bed, four-poster</t>
  </si>
  <si>
    <t>Bench, padded</t>
  </si>
  <si>
    <t>Bookcase, 4’ x 5’ x 1’</t>
  </si>
  <si>
    <t>Bowl, silver</t>
  </si>
  <si>
    <t>Buffet</t>
  </si>
  <si>
    <t>Cabinet</t>
  </si>
  <si>
    <t>750 – 4,000</t>
  </si>
  <si>
    <t>Chair, padded</t>
  </si>
  <si>
    <t>Chandelier</t>
  </si>
  <si>
    <t>5,000+</t>
  </si>
  <si>
    <t>Chest of drawers</t>
  </si>
  <si>
    <t>500 – 2,500</t>
  </si>
  <si>
    <t>Cup, silver</t>
  </si>
  <si>
    <t>Cutlery, silver</t>
  </si>
  <si>
    <t>50/piece</t>
  </si>
  <si>
    <t>Decanter, silver</t>
  </si>
  <si>
    <t>400 – 4,000</t>
  </si>
  <si>
    <t>Desk</t>
  </si>
  <si>
    <t>Goblet, crystal</t>
  </si>
  <si>
    <t>100 – 250</t>
  </si>
  <si>
    <t>Goblet, silver</t>
  </si>
  <si>
    <t>200 – 2,000</t>
  </si>
  <si>
    <t>Kettle, iron, various sizes</t>
  </si>
  <si>
    <t>25 – 250</t>
  </si>
  <si>
    <t>Loom</t>
  </si>
  <si>
    <t>300 – 700</t>
  </si>
  <si>
    <t>Plate, silver</t>
  </si>
  <si>
    <t>150 – 300</t>
  </si>
  <si>
    <t>Rug, large</t>
  </si>
  <si>
    <t>1,500 – 10,000</t>
  </si>
  <si>
    <t>Sofa or couch</t>
  </si>
  <si>
    <t>1,500 – 5,000</t>
  </si>
  <si>
    <t>Tub</t>
  </si>
  <si>
    <t>200 – 500</t>
  </si>
  <si>
    <t>Wardrobe, plain</t>
  </si>
  <si>
    <t>500 – 1,000</t>
  </si>
  <si>
    <t>Wardrobe, with mirror(s)</t>
  </si>
  <si>
    <t>Climbing hook and line</t>
  </si>
  <si>
    <t>Drills and chisels</t>
  </si>
  <si>
    <t>Hearing cone</t>
  </si>
  <si>
    <t>Key-making set</t>
  </si>
  <si>
    <t>Magnifying lens</t>
  </si>
  <si>
    <t>Thieves’ picks &amp; tools</t>
  </si>
  <si>
    <t>Utility suit</t>
  </si>
  <si>
    <t>Branding iron</t>
  </si>
  <si>
    <t>Cage, human-sized</t>
  </si>
  <si>
    <t>150 – 250</t>
  </si>
  <si>
    <t>Chair with straps</t>
  </si>
  <si>
    <t>Clamp</t>
  </si>
  <si>
    <t>Iron boots</t>
  </si>
  <si>
    <t>Iron maiden</t>
  </si>
  <si>
    <t>1,500 – 3,000</t>
  </si>
  <si>
    <t>Stocks</t>
  </si>
  <si>
    <t>250 – 1,000</t>
  </si>
  <si>
    <t>Thumb screws</t>
  </si>
  <si>
    <t>U-rack</t>
  </si>
  <si>
    <t>Vise</t>
  </si>
  <si>
    <t>Mirror, 1 sq. foot</t>
  </si>
  <si>
    <t>Cloth, satin, bolt</t>
  </si>
  <si>
    <t>Cloth, silk, bolt</t>
  </si>
  <si>
    <t>Cloth, velvet, bolt</t>
  </si>
  <si>
    <t>Brocade/satin</t>
  </si>
  <si>
    <t>Brocade/silk</t>
  </si>
  <si>
    <t>Cologne/perfume, 1 oz.</t>
  </si>
  <si>
    <t>30 – 500</t>
  </si>
  <si>
    <t>Incense, rare, 1 oz.</t>
  </si>
  <si>
    <t>5 – 50</t>
  </si>
  <si>
    <t>Ink, 2-oz. pot</t>
  </si>
  <si>
    <t>Ivory, pound</t>
  </si>
  <si>
    <t>Mirror, small, silver</t>
  </si>
  <si>
    <t>Paintbrush, fine</t>
  </si>
  <si>
    <t>Razor</t>
  </si>
  <si>
    <t>Spice, rare, oz.</t>
  </si>
  <si>
    <t>10 – 100</t>
  </si>
  <si>
    <t>Unguent, rare</t>
  </si>
  <si>
    <t>Metal-eating acid, pint</t>
  </si>
  <si>
    <t>Miniature lantern</t>
  </si>
  <si>
    <t>Heka Connected Items</t>
  </si>
  <si>
    <t>Alanthor *</t>
  </si>
  <si>
    <t>10,000 – 50,000</t>
  </si>
  <si>
    <t>Alembic</t>
  </si>
  <si>
    <t>50 – 100</t>
  </si>
  <si>
    <t>Balance &amp; weights</t>
  </si>
  <si>
    <t>Basin *</t>
  </si>
  <si>
    <t>5,000 – 25,000</t>
  </si>
  <si>
    <t>Beaker</t>
  </si>
  <si>
    <t>Bellows *</t>
  </si>
  <si>
    <t>Brazier *</t>
  </si>
  <si>
    <t>Cauldron *</t>
  </si>
  <si>
    <t>Crucible</t>
  </si>
  <si>
    <t>50 – 5,000</t>
  </si>
  <si>
    <t>Funnel</t>
  </si>
  <si>
    <t>Furnace</t>
  </si>
  <si>
    <t>100 – 500</t>
  </si>
  <si>
    <t>Hourglass</t>
  </si>
  <si>
    <t>Lens, concave or convex</t>
  </si>
  <si>
    <t>Mortar &amp; pestle</t>
  </si>
  <si>
    <t>10 – 50</t>
  </si>
  <si>
    <t>Tongs</t>
  </si>
  <si>
    <t>Tube, glass (container or piping)</t>
  </si>
  <si>
    <t>Tweezers</t>
  </si>
  <si>
    <t>Water clock</t>
  </si>
  <si>
    <t>* items that can store Heka</t>
  </si>
  <si>
    <t>Belladona, sprig</t>
  </si>
  <si>
    <t>Garlic, bud</t>
  </si>
  <si>
    <t>Wolfsbane, sprig</t>
  </si>
  <si>
    <t>Beads, Prayer *</t>
  </si>
  <si>
    <t>Incense, stick</t>
  </si>
  <si>
    <t>0.10 – 5</t>
  </si>
  <si>
    <t>Symbol, holy, iron *</t>
  </si>
  <si>
    <t>Symbol, holy, silver *</t>
  </si>
  <si>
    <t>50 – 75</t>
  </si>
  <si>
    <t>Symbol, holy, wooden *</t>
  </si>
  <si>
    <t>Holy water, 1 oz.</t>
  </si>
  <si>
    <t>Air bladder</t>
  </si>
  <si>
    <t>Book, blank, 100 pages, papyrus</t>
  </si>
  <si>
    <t>Book, blank, 100 pages, parchment</t>
  </si>
  <si>
    <t>Book, blank, 100 pages, vellum</t>
  </si>
  <si>
    <t>Book, blank, 100 pages, paper</t>
  </si>
  <si>
    <t>Box, small, gold</t>
  </si>
  <si>
    <t>10,000+</t>
  </si>
  <si>
    <t>Box, small, lead</t>
  </si>
  <si>
    <t>Case, bone, map or scroll</t>
  </si>
  <si>
    <t>Case, leather, map or scroll</t>
  </si>
  <si>
    <t>Paper, 1 sheet</t>
  </si>
  <si>
    <t>Papyrus, 1 sheet</t>
  </si>
  <si>
    <t>Parchment, 1 sheet</t>
  </si>
  <si>
    <t>Pen, fine, wood or metal</t>
  </si>
  <si>
    <t>Pen, quill</t>
  </si>
  <si>
    <t>Tome (containing Castings)</t>
  </si>
  <si>
    <t>1,000 – 10,000</t>
  </si>
  <si>
    <t>Vellum, 1 sheet</t>
  </si>
  <si>
    <t>Vial, ceramic</t>
  </si>
  <si>
    <t>Vial, crystal or metal</t>
  </si>
  <si>
    <t>25 - 100</t>
  </si>
  <si>
    <t>Alchemical Items</t>
  </si>
  <si>
    <t>Herbs</t>
  </si>
  <si>
    <t>Religious Items</t>
  </si>
  <si>
    <t>Specially Constructed Items Tables</t>
  </si>
  <si>
    <t>Clothing</t>
  </si>
  <si>
    <t>Musical Items</t>
  </si>
  <si>
    <t>Thieves’ Items</t>
  </si>
  <si>
    <t>Torture Items</t>
  </si>
  <si>
    <t>Rare Items</t>
  </si>
  <si>
    <t>Equipment</t>
  </si>
  <si>
    <t>3) Using the money from the Bank, refer to the lists to the right for Standard, Specialty, Rare, and</t>
  </si>
  <si>
    <t>Heka Connected Items and purchase your equipment, listing it below.</t>
  </si>
  <si>
    <t>Mounts, Vehicles and Vessels</t>
  </si>
  <si>
    <t>Type of transportation</t>
  </si>
  <si>
    <t>Adverse</t>
  </si>
  <si>
    <t>Favorable</t>
  </si>
  <si>
    <t>Base Move, by Condition</t>
  </si>
  <si>
    <t>Mounts</t>
  </si>
  <si>
    <t>Type of Mount</t>
  </si>
  <si>
    <t>Price of Mount</t>
  </si>
  <si>
    <t>Physical Damage Points</t>
  </si>
  <si>
    <t>Ass</t>
  </si>
  <si>
    <t>3D3 x 100</t>
  </si>
  <si>
    <t>100 + 3D10</t>
  </si>
  <si>
    <t>Camel, Bactrian</t>
  </si>
  <si>
    <t>6D6 x 500</t>
  </si>
  <si>
    <t>200 + 5D5</t>
  </si>
  <si>
    <t>Camel, Bactro-Dromedary</t>
  </si>
  <si>
    <t>7D6 x 500</t>
  </si>
  <si>
    <t>200 + 6D6</t>
  </si>
  <si>
    <t>Camel, Dromedary</t>
  </si>
  <si>
    <t>6D10 x 500</t>
  </si>
  <si>
    <t>175 + 5D10</t>
  </si>
  <si>
    <t>Cart</t>
  </si>
  <si>
    <t>4D5 x 100</t>
  </si>
  <si>
    <t>70 + 5D20</t>
  </si>
  <si>
    <t>Charger</t>
  </si>
  <si>
    <t>Base 40,000</t>
  </si>
  <si>
    <t>240 – 280 + 1D20</t>
  </si>
  <si>
    <t>Courser</t>
  </si>
  <si>
    <t>Base 30,000</t>
  </si>
  <si>
    <t>230 – 260 + 1D20</t>
  </si>
  <si>
    <t>Destrier</t>
  </si>
  <si>
    <t>Base 50,000</t>
  </si>
  <si>
    <t>250 – 300 + 1D20</t>
  </si>
  <si>
    <t>Draft</t>
  </si>
  <si>
    <t>3D3 x 1,000</t>
  </si>
  <si>
    <t>240 + 1D20</t>
  </si>
  <si>
    <t>Dray</t>
  </si>
  <si>
    <t>1D10 x 1,000</t>
  </si>
  <si>
    <t>230 + 1D20</t>
  </si>
  <si>
    <t>Elephant, Afrikkan</t>
  </si>
  <si>
    <t>Base 125,000</t>
  </si>
  <si>
    <t>400 – 475 + 2D20</t>
  </si>
  <si>
    <t>Elephant, Azirian</t>
  </si>
  <si>
    <t>Base 100,000</t>
  </si>
  <si>
    <t>375 – 450 + 5D5</t>
  </si>
  <si>
    <t>Garron</t>
  </si>
  <si>
    <t>5D6 x 1,000</t>
  </si>
  <si>
    <t>180 + 5D65</t>
  </si>
  <si>
    <t>Genet</t>
  </si>
  <si>
    <t>220 – 250 + 3D10</t>
  </si>
  <si>
    <t>Jade</t>
  </si>
  <si>
    <t>2D10 x 100</t>
  </si>
  <si>
    <t>80 + D%</t>
  </si>
  <si>
    <t>Mule</t>
  </si>
  <si>
    <t>5D6 x 100</t>
  </si>
  <si>
    <t>100 + 10D10</t>
  </si>
  <si>
    <t>Palfrey</t>
  </si>
  <si>
    <t>6D3 x 1,000</t>
  </si>
  <si>
    <t>160 + 5D10</t>
  </si>
  <si>
    <t>Pony (Horse)</t>
  </si>
  <si>
    <t>4D6 x 1,000</t>
  </si>
  <si>
    <t>140 + 6D6</t>
  </si>
  <si>
    <t>Pony (True)</t>
  </si>
  <si>
    <t>50 + 10D6</t>
  </si>
  <si>
    <t>Racer</t>
  </si>
  <si>
    <t>1D20 x 1,000</t>
  </si>
  <si>
    <t>140 + 5D10</t>
  </si>
  <si>
    <t>Type of Vehicle</t>
  </si>
  <si>
    <t>Price of Vehicle</t>
  </si>
  <si>
    <t>Damage Points</t>
  </si>
  <si>
    <t>500 + (2D3 x 100)</t>
  </si>
  <si>
    <t>20 + 2D10</t>
  </si>
  <si>
    <t>Buckboard</t>
  </si>
  <si>
    <t>1,000 + (3D3 x 100)</t>
  </si>
  <si>
    <t>50 + 1D10</t>
  </si>
  <si>
    <t>Wagon</t>
  </si>
  <si>
    <t>2,000 + (2D6 x 500)</t>
  </si>
  <si>
    <t>100 + 3D20</t>
  </si>
  <si>
    <t>Carriage</t>
  </si>
  <si>
    <t>5,000 + (3D3 x 1,000)</t>
  </si>
  <si>
    <t>200 + 5D20</t>
  </si>
  <si>
    <t>Coach, royal</t>
  </si>
  <si>
    <t>50,000 + (6D3 x 1,000)</t>
  </si>
  <si>
    <t>250 + 5D20</t>
  </si>
  <si>
    <t>Type of Craft</t>
  </si>
  <si>
    <t>Price of Craft (BUCs)</t>
  </si>
  <si>
    <t>Raft, Small/Large</t>
  </si>
  <si>
    <t>100 + (2D3 x 50/100)</t>
  </si>
  <si>
    <t>50/ + 5D10</t>
  </si>
  <si>
    <t>Skiff/Rowboat</t>
  </si>
  <si>
    <t>300 + (3D3 x 50)</t>
  </si>
  <si>
    <t>50 + 2D10</t>
  </si>
  <si>
    <t>Canoe/Kayak *</t>
  </si>
  <si>
    <t>500 + (2D3 x 50)</t>
  </si>
  <si>
    <t>25 + 1D10</t>
  </si>
  <si>
    <t>Boat, Long **</t>
  </si>
  <si>
    <t>800 + (2D3 x 100)</t>
  </si>
  <si>
    <t>50 + 5D6/1D10</t>
  </si>
  <si>
    <t>Canoe, Outrigger†</t>
  </si>
  <si>
    <t>750 + (2D3 x 50)</t>
  </si>
  <si>
    <t>25 + 2D10</t>
  </si>
  <si>
    <t>Sailboat, Small</t>
  </si>
  <si>
    <t>2D6 x 1,000 + 100/foot</t>
  </si>
  <si>
    <t>75 + 1D10</t>
  </si>
  <si>
    <t>a</t>
  </si>
  <si>
    <t>b</t>
  </si>
  <si>
    <t>c</t>
  </si>
  <si>
    <t>Sailing Ship, Sm.</t>
  </si>
  <si>
    <t>5D10 x 1,000 + 100/foot</t>
  </si>
  <si>
    <t>250 + 5D10</t>
  </si>
  <si>
    <t>Galley, Small</t>
  </si>
  <si>
    <t>5D6 x 1,000 + 250/foot</t>
  </si>
  <si>
    <t>200 + 5D6</t>
  </si>
  <si>
    <t>16/a</t>
  </si>
  <si>
    <t>8/b</t>
  </si>
  <si>
    <t>14/c</t>
  </si>
  <si>
    <t>Sailing Ship, Lg</t>
  </si>
  <si>
    <t>5D6 x 1,000 + 1,000/foot</t>
  </si>
  <si>
    <t>500 + 1/foot</t>
  </si>
  <si>
    <t>Warship</t>
  </si>
  <si>
    <t>10D6 x 1,000 + 1,000/foot</t>
  </si>
  <si>
    <t>600 + 1/foot</t>
  </si>
  <si>
    <t>Galley, Large††</t>
  </si>
  <si>
    <t>10D6 x 1,000 + 500/foot</t>
  </si>
  <si>
    <t>300 + 10D6</t>
  </si>
  <si>
    <t>12/a</t>
  </si>
  <si>
    <t>9/b</t>
  </si>
  <si>
    <t>27/c</t>
  </si>
  <si>
    <t>Waterborne Vessels</t>
  </si>
  <si>
    <t>Land Vehicles</t>
  </si>
  <si>
    <t>* includes collapsible boats</t>
  </si>
  <si>
    <t>** includes gigs, jolly boats, launches, etc.</t>
  </si>
  <si>
    <t>† Assumes a large craft with numerous paddlers and a sail; otherwise treat as a canoe</t>
  </si>
  <si>
    <t>†† Includes the Galleass, et al.</t>
  </si>
  <si>
    <t>††† Under sail various craft perform quite differently, including those within a class. However, this is a work dealing with game rules to which sailing is incidental, so we will offer only the following guidelines, but you may expect that a work on ships, sailing, and naval battles will eventually be released as an accessory to this game and others in the modular system.</t>
  </si>
  <si>
    <t>Maximum rates of movement shown cannot be maintained for extended periods, i.e., more than one or so Action Turns, when physical labor (paddling or rowing) is the sole means of sustaining this speed. Of course, current or wind negates this stricture.</t>
  </si>
  <si>
    <t xml:space="preserve">a: equals 50% of wind speed </t>
  </si>
  <si>
    <t xml:space="preserve">b: equals 25% of wind speed </t>
  </si>
  <si>
    <t>c: equals 75% of wind speed</t>
  </si>
  <si>
    <t>4) If you want to purchase a mount, Vehicle or Vessel, refer to the attached tables to the right and list them below</t>
  </si>
  <si>
    <t>5) If any money was left, either continue purchasing, return it to the Bank, or keep it as cash on hand.Your JM may allow your HP to purchase Potions (see Consumables tab).</t>
  </si>
  <si>
    <t>Net Worth</t>
  </si>
  <si>
    <t>The Net Worth tab is for those who are creating their character (instead of</t>
  </si>
  <si>
    <t>transferrinf an existing HP to the ne sheet - Start by selecting an SEC and</t>
  </si>
  <si>
    <t>entering into the box - the page calculates a set of numbers for all the SEC</t>
  </si>
  <si>
    <t xml:space="preserve">columns in a table. Copy the applicable column to the work sheet on the left </t>
  </si>
  <si>
    <t xml:space="preserve">side, adjust your Bank account and Net worth, and go select your equipment </t>
  </si>
  <si>
    <t>from the tables. Buy a house, horse, wagon and warship. Don't forget to buy</t>
  </si>
  <si>
    <t>a loincloth and a sword before you're broke</t>
  </si>
  <si>
    <t>Dweomercraeft,Elemental</t>
  </si>
  <si>
    <t>Dweomercraeft, General</t>
  </si>
  <si>
    <t>to roll</t>
  </si>
  <si>
    <t>F9</t>
  </si>
  <si>
    <t>press</t>
  </si>
  <si>
    <t>Note: If above table has #REF! errors, it is not pointing to the correct K/S Steep. I linked tothose below as an example</t>
  </si>
  <si>
    <t>As each hit scores,enter the damage below</t>
  </si>
  <si>
    <t>Automatically subtracts damage from magick armor until gone</t>
  </si>
  <si>
    <t>It also contains a set of neat little formulas that applies damage and reduces your magickal armor until gone,</t>
  </si>
  <si>
    <t>then subtracts armor from any other hits that exceed mundane armor, applying it to the appropriate Trait</t>
  </si>
  <si>
    <t>The money tab has table showing the relative value of metal/coins, and the process of</t>
  </si>
  <si>
    <t>determining size and cost of gemstones, their money value, and Heka stored based on</t>
  </si>
  <si>
    <t>their quality, if you are going to create Aegis (protectives made from activating the natural</t>
  </si>
  <si>
    <t>Heka stored within mineral reagents for small protective charms</t>
  </si>
  <si>
    <t>Don't laugh, It will happen… Eventually.</t>
  </si>
  <si>
    <t>Coming soon: Material from Errata pages with MORE poisons</t>
  </si>
  <si>
    <t>First Aid</t>
  </si>
  <si>
    <t>1d10</t>
  </si>
  <si>
    <t>2-12</t>
  </si>
  <si>
    <t>Healing Potion</t>
  </si>
  <si>
    <t>3d6+15</t>
  </si>
  <si>
    <t>18-52</t>
  </si>
  <si>
    <t>5-30</t>
  </si>
  <si>
    <t>Greater Healing</t>
  </si>
  <si>
    <t>5d6+25</t>
  </si>
  <si>
    <t>30-55</t>
  </si>
  <si>
    <t>Superior Healing</t>
  </si>
  <si>
    <t>7d6+35</t>
  </si>
  <si>
    <t>42-77</t>
  </si>
  <si>
    <t>Supreme Healing</t>
  </si>
  <si>
    <t>9d6+50</t>
  </si>
  <si>
    <t>59-104</t>
  </si>
  <si>
    <t>min 40 PD + Poison, Disease</t>
  </si>
  <si>
    <t>50 PD (temporary)</t>
  </si>
  <si>
    <t>25 pts each Mental and Spiritual</t>
  </si>
  <si>
    <t>neutralize poison 50 STR or less</t>
  </si>
  <si>
    <t>Neutralize Poison</t>
  </si>
  <si>
    <t>Neutralizes min 60STR poison</t>
  </si>
  <si>
    <t>Halts Disease</t>
  </si>
  <si>
    <t>Healing Potions</t>
  </si>
  <si>
    <t>Potion</t>
  </si>
  <si>
    <t>Castings that heal damage</t>
  </si>
  <si>
    <t>Damage taken</t>
  </si>
  <si>
    <t>(total</t>
  </si>
  <si>
    <t>6th hit</t>
  </si>
  <si>
    <t>7th hit</t>
  </si>
  <si>
    <t>8th hit</t>
  </si>
  <si>
    <t>Cumulative dmg vs armor</t>
  </si>
  <si>
    <t>(I114&gt;0,0,IF(E115+I114&gt;1,0,(I114+I115)))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</si>
</sst>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5" x14ac:knownFonts="1">
    <font>
      <b/>
      <sz val="10"/>
      <name val="Helv"/>
    </font>
    <font>
      <b/>
      <sz val="8"/>
      <name val="Helv"/>
    </font>
    <font>
      <b/>
      <sz val="10"/>
      <name val="Arial"/>
      <family val="2"/>
    </font>
    <font>
      <b/>
      <sz val="9"/>
      <name val="Arial"/>
      <family val="2"/>
    </font>
    <font>
      <sz val="9"/>
      <name val="Arial"/>
      <family val="2"/>
    </font>
    <font>
      <sz val="7"/>
      <name val="Arial"/>
      <family val="2"/>
    </font>
    <font>
      <sz val="8"/>
      <name val="Arial"/>
      <family val="2"/>
    </font>
    <font>
      <b/>
      <sz val="8"/>
      <name val="Arial"/>
      <family val="2"/>
    </font>
    <font>
      <sz val="10"/>
      <name val="Arial"/>
      <family val="2"/>
    </font>
    <font>
      <b/>
      <sz val="7"/>
      <name val="Arial"/>
      <family val="2"/>
    </font>
    <font>
      <sz val="7"/>
      <name val="Arial"/>
      <family val="2"/>
    </font>
    <font>
      <sz val="8"/>
      <name val="Arial"/>
      <family val="2"/>
    </font>
    <font>
      <sz val="10"/>
      <name val="Arial"/>
      <family val="2"/>
    </font>
    <font>
      <sz val="9"/>
      <name val="Arial"/>
      <family val="2"/>
    </font>
    <font>
      <b/>
      <sz val="10"/>
      <name val="Arial"/>
      <family val="2"/>
    </font>
    <font>
      <b/>
      <sz val="10"/>
      <name val="Mirage"/>
      <family val="1"/>
    </font>
    <font>
      <b/>
      <sz val="13"/>
      <name val="Mirage"/>
      <family val="1"/>
    </font>
    <font>
      <b/>
      <sz val="9"/>
      <name val="Mirage"/>
      <family val="1"/>
    </font>
    <font>
      <sz val="9"/>
      <name val="Mirage"/>
      <family val="1"/>
    </font>
    <font>
      <b/>
      <sz val="14"/>
      <name val="Mirage"/>
      <family val="1"/>
    </font>
    <font>
      <b/>
      <sz val="12"/>
      <name val="Mirage"/>
      <family val="1"/>
    </font>
    <font>
      <b/>
      <i/>
      <sz val="6"/>
      <name val="Arial"/>
      <family val="2"/>
    </font>
    <font>
      <b/>
      <sz val="5"/>
      <name val="Mirage"/>
      <family val="1"/>
    </font>
    <font>
      <sz val="10"/>
      <name val="Mirage"/>
      <family val="1"/>
    </font>
    <font>
      <sz val="12"/>
      <name val="Wingdings"/>
      <charset val="2"/>
    </font>
    <font>
      <sz val="9"/>
      <name val="Wingdings"/>
      <charset val="2"/>
    </font>
    <font>
      <b/>
      <sz val="9"/>
      <name val="Helv"/>
    </font>
    <font>
      <b/>
      <sz val="11"/>
      <name val="Arial"/>
      <family val="2"/>
    </font>
    <font>
      <b/>
      <sz val="11"/>
      <name val="Mirage"/>
      <family val="1"/>
    </font>
    <font>
      <sz val="11"/>
      <name val="Mirage"/>
      <family val="1"/>
    </font>
    <font>
      <b/>
      <sz val="11"/>
      <name val="Helv"/>
    </font>
    <font>
      <sz val="9"/>
      <name val="Helv"/>
    </font>
    <font>
      <sz val="9"/>
      <color rgb="FFFF0000"/>
      <name val="Arial"/>
      <family val="2"/>
    </font>
    <font>
      <sz val="10"/>
      <color rgb="FFFF0000"/>
      <name val="Arial"/>
      <family val="2"/>
    </font>
    <font>
      <strike/>
      <sz val="9"/>
      <color rgb="FFFF0000"/>
      <name val="Arial"/>
      <family val="2"/>
    </font>
    <font>
      <sz val="9"/>
      <color rgb="FF7030A0"/>
      <name val="Mirage"/>
      <family val="1"/>
    </font>
    <font>
      <b/>
      <sz val="9"/>
      <color rgb="FF7030A0"/>
      <name val="Mirage"/>
      <family val="1"/>
    </font>
    <font>
      <i/>
      <sz val="9"/>
      <name val="Mirage"/>
      <family val="1"/>
    </font>
    <font>
      <b/>
      <i/>
      <sz val="9"/>
      <name val="Mirage"/>
      <family val="1"/>
    </font>
    <font>
      <strike/>
      <sz val="9"/>
      <name val="Mirage"/>
      <family val="1"/>
    </font>
    <font>
      <b/>
      <strike/>
      <sz val="9"/>
      <name val="Mirage"/>
      <family val="1"/>
    </font>
    <font>
      <b/>
      <i/>
      <sz val="10"/>
      <name val="Mirage"/>
      <family val="1"/>
    </font>
    <font>
      <i/>
      <sz val="10"/>
      <name val="Mirage"/>
      <family val="1"/>
    </font>
    <font>
      <b/>
      <sz val="8"/>
      <color rgb="FF000000"/>
      <name val="Calibri"/>
      <family val="2"/>
    </font>
    <font>
      <b/>
      <i/>
      <sz val="8"/>
      <color rgb="FF000000"/>
      <name val="Calibri"/>
      <family val="2"/>
    </font>
    <font>
      <b/>
      <sz val="9"/>
      <color theme="1"/>
      <name val="Mirage"/>
      <family val="1"/>
    </font>
    <font>
      <sz val="9"/>
      <color theme="1"/>
      <name val="Mirage"/>
      <family val="1"/>
    </font>
    <font>
      <b/>
      <sz val="8"/>
      <name val="Mirage"/>
      <family val="1"/>
    </font>
    <font>
      <b/>
      <sz val="10"/>
      <color rgb="FFFF0000"/>
      <name val="Mirage"/>
      <family val="1"/>
    </font>
    <font>
      <sz val="8"/>
      <name val="Mirage"/>
      <family val="1"/>
    </font>
    <font>
      <b/>
      <i/>
      <u/>
      <sz val="10"/>
      <name val="Mirage"/>
      <family val="1"/>
    </font>
    <font>
      <u/>
      <sz val="10"/>
      <name val="Mirage"/>
      <family val="1"/>
    </font>
    <font>
      <b/>
      <i/>
      <u/>
      <sz val="9"/>
      <name val="Mirage"/>
      <family val="1"/>
    </font>
    <font>
      <u/>
      <sz val="9"/>
      <name val="Mirage"/>
      <family val="1"/>
    </font>
    <font>
      <b/>
      <u/>
      <sz val="11"/>
      <name val="Mirage"/>
      <family val="1"/>
    </font>
    <font>
      <b/>
      <u/>
      <sz val="9"/>
      <name val="Mirage"/>
      <family val="1"/>
    </font>
    <font>
      <b/>
      <sz val="11"/>
      <color theme="1"/>
      <name val="Mirage"/>
      <family val="1"/>
    </font>
    <font>
      <b/>
      <i/>
      <sz val="10"/>
      <name val="Helv"/>
    </font>
    <font>
      <sz val="9"/>
      <color rgb="FFC00000"/>
      <name val="Mirage"/>
      <family val="1"/>
    </font>
    <font>
      <b/>
      <i/>
      <sz val="10"/>
      <color theme="1"/>
      <name val="Mirage"/>
      <family val="1"/>
    </font>
    <font>
      <sz val="8"/>
      <color rgb="FF000000"/>
      <name val="Mirage"/>
      <family val="1"/>
    </font>
    <font>
      <sz val="8"/>
      <color theme="1"/>
      <name val="Mirage"/>
      <family val="1"/>
    </font>
    <font>
      <sz val="8"/>
      <color theme="1"/>
      <name val="Calibri"/>
      <family val="2"/>
      <scheme val="minor"/>
    </font>
    <font>
      <sz val="10"/>
      <color theme="1"/>
      <name val="Calibri"/>
      <family val="2"/>
      <scheme val="minor"/>
    </font>
    <font>
      <b/>
      <sz val="8"/>
      <color theme="1"/>
      <name val="Mirage"/>
      <family val="1"/>
    </font>
    <font>
      <b/>
      <sz val="8"/>
      <color rgb="FF7030A0"/>
      <name val="Mirage"/>
      <family val="1"/>
    </font>
    <font>
      <b/>
      <sz val="14"/>
      <color rgb="FFFF0000"/>
      <name val="Mirage"/>
      <family val="1"/>
    </font>
    <font>
      <b/>
      <sz val="8"/>
      <color rgb="FF00B050"/>
      <name val="Mirage"/>
      <family val="1"/>
    </font>
    <font>
      <b/>
      <sz val="9"/>
      <color rgb="FF00B050"/>
      <name val="Mirage"/>
      <family val="1"/>
    </font>
    <font>
      <b/>
      <sz val="10"/>
      <color rgb="FF00B050"/>
      <name val="Helv"/>
    </font>
    <font>
      <b/>
      <sz val="8"/>
      <color rgb="FF0070C0"/>
      <name val="Mirage"/>
      <family val="1"/>
    </font>
    <font>
      <b/>
      <sz val="9"/>
      <color rgb="FF0070C0"/>
      <name val="Mirage"/>
      <family val="1"/>
    </font>
    <font>
      <b/>
      <sz val="10"/>
      <color rgb="FF0070C0"/>
      <name val="Helv"/>
    </font>
    <font>
      <b/>
      <i/>
      <sz val="9"/>
      <color rgb="FF0070C0"/>
      <name val="Mirage"/>
      <family val="1"/>
    </font>
    <font>
      <b/>
      <sz val="10"/>
      <name val="Helv"/>
    </font>
    <font>
      <b/>
      <i/>
      <sz val="8"/>
      <name val="Mirage"/>
      <family val="1"/>
    </font>
    <font>
      <b/>
      <i/>
      <sz val="8"/>
      <color rgb="FF00B050"/>
      <name val="Mirage"/>
      <family val="1"/>
    </font>
    <font>
      <b/>
      <i/>
      <sz val="8"/>
      <color rgb="FF0070C0"/>
      <name val="Mirage"/>
      <family val="1"/>
    </font>
    <font>
      <b/>
      <i/>
      <sz val="8"/>
      <color rgb="FF7030A0"/>
      <name val="Mirage"/>
      <family val="1"/>
    </font>
    <font>
      <i/>
      <sz val="8"/>
      <name val="Mirage"/>
      <family val="1"/>
    </font>
    <font>
      <b/>
      <i/>
      <sz val="8"/>
      <color rgb="FF002060"/>
      <name val="Mirage"/>
      <family val="1"/>
    </font>
    <font>
      <b/>
      <i/>
      <sz val="8"/>
      <color rgb="FF000000"/>
      <name val="Mirage"/>
      <family val="1"/>
    </font>
    <font>
      <b/>
      <sz val="10"/>
      <color theme="1"/>
      <name val="Mirage"/>
      <family val="1"/>
    </font>
    <font>
      <b/>
      <i/>
      <sz val="11"/>
      <name val="Calibri"/>
      <family val="2"/>
      <scheme val="minor"/>
    </font>
    <font>
      <b/>
      <i/>
      <sz val="10"/>
      <name val="Calibri"/>
      <family val="2"/>
      <scheme val="minor"/>
    </font>
    <font>
      <b/>
      <sz val="10"/>
      <color rgb="FFC00000"/>
      <name val="Mirage"/>
      <family val="1"/>
    </font>
    <font>
      <b/>
      <sz val="10"/>
      <color rgb="FFC00000"/>
      <name val="Arial"/>
      <family val="2"/>
    </font>
    <font>
      <b/>
      <sz val="8"/>
      <color rgb="FF000000"/>
      <name val="Mirage"/>
      <family val="1"/>
    </font>
    <font>
      <sz val="9"/>
      <color rgb="FF000000"/>
      <name val="Mirage"/>
      <family val="1"/>
    </font>
    <font>
      <sz val="10"/>
      <name val="Helv"/>
    </font>
    <font>
      <sz val="12"/>
      <name val="Segoe UI Emoji"/>
      <family val="2"/>
    </font>
    <font>
      <sz val="12"/>
      <name val="Mirage"/>
      <family val="1"/>
    </font>
    <font>
      <sz val="14"/>
      <name val="Segoe UI Symbol"/>
      <family val="2"/>
    </font>
    <font>
      <sz val="12"/>
      <name val="Segoe UI Symbol"/>
      <family val="2"/>
    </font>
    <font>
      <b/>
      <sz val="16"/>
      <name val="Segoe UI Symbol"/>
      <family val="2"/>
    </font>
    <font>
      <sz val="8"/>
      <name val="Palatino Linotype"/>
      <family val="1"/>
    </font>
    <font>
      <sz val="12"/>
      <name val="Times New Roman"/>
      <family val="1"/>
    </font>
    <font>
      <b/>
      <sz val="9"/>
      <color indexed="17"/>
      <name val="Mirage"/>
      <family val="1"/>
    </font>
    <font>
      <b/>
      <sz val="9"/>
      <color rgb="FF000000"/>
      <name val="Mirage"/>
      <family val="1"/>
    </font>
    <font>
      <i/>
      <sz val="8"/>
      <color indexed="62"/>
      <name val="Mirage"/>
      <family val="1"/>
    </font>
    <font>
      <sz val="8"/>
      <color indexed="62"/>
      <name val="Mirage"/>
      <family val="1"/>
    </font>
    <font>
      <i/>
      <sz val="8"/>
      <color indexed="8"/>
      <name val="Mirage"/>
      <family val="1"/>
    </font>
    <font>
      <sz val="8"/>
      <color indexed="8"/>
      <name val="Mirage"/>
      <family val="1"/>
    </font>
    <font>
      <sz val="12"/>
      <name val="Palatino Linotype"/>
      <family val="1"/>
    </font>
    <font>
      <b/>
      <sz val="9"/>
      <color indexed="30"/>
      <name val="Mirage"/>
      <family val="1"/>
    </font>
    <font>
      <i/>
      <u/>
      <sz val="9"/>
      <name val="Mirage"/>
      <family val="1"/>
    </font>
    <font>
      <b/>
      <sz val="9"/>
      <color rgb="FFFF0000"/>
      <name val="Mirage"/>
      <family val="1"/>
    </font>
    <font>
      <b/>
      <sz val="10"/>
      <color rgb="FF0070C0"/>
      <name val="Mirage"/>
      <family val="1"/>
    </font>
    <font>
      <sz val="9"/>
      <color rgb="FFFFB3B3"/>
      <name val="Mirage"/>
      <family val="1"/>
    </font>
    <font>
      <b/>
      <sz val="9"/>
      <color rgb="FFFFB3B3"/>
      <name val="Mirage"/>
      <family val="1"/>
    </font>
    <font>
      <b/>
      <sz val="12"/>
      <name val="Helv"/>
    </font>
    <font>
      <b/>
      <sz val="11"/>
      <color rgb="FF00823B"/>
      <name val="Linearicons-Free"/>
    </font>
    <font>
      <b/>
      <sz val="11"/>
      <color rgb="FFFF0000"/>
      <name val="Linearicons-Free"/>
    </font>
    <font>
      <b/>
      <sz val="11"/>
      <color theme="8" tint="-0.499984740745262"/>
      <name val="Linearicons-Free"/>
    </font>
    <font>
      <b/>
      <sz val="11"/>
      <color rgb="FFFFC000"/>
      <name val="Linearicons-Free"/>
    </font>
    <font>
      <b/>
      <sz val="11"/>
      <name val="Linearicons-Free"/>
    </font>
    <font>
      <b/>
      <sz val="11"/>
      <color theme="7" tint="-0.499984740745262"/>
      <name val="Linearicons-Free"/>
    </font>
    <font>
      <b/>
      <sz val="12"/>
      <color rgb="FF7030A0"/>
      <name val="Linearicons-Free"/>
    </font>
    <font>
      <b/>
      <sz val="12"/>
      <color theme="4"/>
      <name val="Mirage"/>
      <family val="1"/>
    </font>
    <font>
      <sz val="10"/>
      <color theme="4" tint="-0.499984740745262"/>
      <name val="Mirage"/>
      <family val="1"/>
    </font>
    <font>
      <b/>
      <i/>
      <sz val="10"/>
      <color theme="8" tint="-0.499984740745262"/>
      <name val="Mirage"/>
      <family val="1"/>
    </font>
    <font>
      <b/>
      <u/>
      <sz val="12"/>
      <color theme="1"/>
      <name val="Calibri"/>
      <family val="2"/>
      <scheme val="minor"/>
    </font>
    <font>
      <sz val="12"/>
      <color rgb="FFFF0000"/>
      <name val="Calibri"/>
      <family val="2"/>
      <scheme val="minor"/>
    </font>
    <font>
      <sz val="10"/>
      <color rgb="FF002060"/>
      <name val="Mirage"/>
      <family val="1"/>
    </font>
    <font>
      <b/>
      <sz val="14"/>
      <color rgb="FF002060"/>
      <name val="Mirage"/>
      <family val="1"/>
    </font>
    <font>
      <sz val="9"/>
      <color rgb="FF002060"/>
      <name val="Mirage"/>
      <family val="1"/>
    </font>
    <font>
      <sz val="11"/>
      <color rgb="FF002060"/>
      <name val="Mirage"/>
      <family val="1"/>
    </font>
    <font>
      <b/>
      <sz val="14"/>
      <name val="Helv"/>
    </font>
    <font>
      <sz val="9"/>
      <color theme="4" tint="-0.499984740745262"/>
      <name val="Mirage"/>
      <family val="1"/>
    </font>
    <font>
      <b/>
      <i/>
      <sz val="10"/>
      <color rgb="FFC00000"/>
      <name val="Mirage"/>
      <family val="1"/>
    </font>
    <font>
      <sz val="10"/>
      <color rgb="FFFF0000"/>
      <name val="Mirage"/>
      <family val="1"/>
    </font>
    <font>
      <i/>
      <sz val="9"/>
      <color theme="5" tint="-0.249977111117893"/>
      <name val="Mirage"/>
      <family val="1"/>
    </font>
    <font>
      <i/>
      <sz val="9"/>
      <color theme="8" tint="-0.499984740745262"/>
      <name val="Mirage"/>
      <family val="1"/>
    </font>
    <font>
      <i/>
      <sz val="11"/>
      <name val="Mirage"/>
      <family val="1"/>
    </font>
    <font>
      <b/>
      <i/>
      <sz val="11"/>
      <name val="Helv"/>
    </font>
  </fonts>
  <fills count="41">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0CDFF"/>
        <bgColor indexed="64"/>
      </patternFill>
    </fill>
    <fill>
      <patternFill patternType="solid">
        <fgColor rgb="FFF3D9FF"/>
        <bgColor indexed="64"/>
      </patternFill>
    </fill>
    <fill>
      <patternFill patternType="solid">
        <fgColor rgb="FFE4D2F2"/>
        <bgColor indexed="64"/>
      </patternFill>
    </fill>
    <fill>
      <patternFill patternType="solid">
        <fgColor rgb="FFFFCCCC"/>
        <bgColor indexed="64"/>
      </patternFill>
    </fill>
    <fill>
      <patternFill patternType="solid">
        <fgColor theme="4" tint="0.59999389629810485"/>
        <bgColor indexed="64"/>
      </patternFill>
    </fill>
    <fill>
      <patternFill patternType="solid">
        <fgColor rgb="FFDBE5F1"/>
        <bgColor indexed="64"/>
      </patternFill>
    </fill>
    <fill>
      <patternFill patternType="solid">
        <fgColor theme="0"/>
        <bgColor indexed="64"/>
      </patternFill>
    </fill>
    <fill>
      <patternFill patternType="solid">
        <fgColor rgb="FFE6D5F3"/>
        <bgColor indexed="64"/>
      </patternFill>
    </fill>
    <fill>
      <patternFill patternType="solid">
        <fgColor rgb="FFDDF0FF"/>
        <bgColor indexed="64"/>
      </patternFill>
    </fill>
    <fill>
      <patternFill patternType="solid">
        <fgColor theme="0" tint="-4.9989318521683403E-2"/>
        <bgColor indexed="64"/>
      </patternFill>
    </fill>
    <fill>
      <patternFill patternType="solid">
        <fgColor rgb="FFFFEBAB"/>
        <bgColor indexed="64"/>
      </patternFill>
    </fill>
    <fill>
      <patternFill patternType="solid">
        <fgColor rgb="FFFFB3B3"/>
        <bgColor indexed="64"/>
      </patternFill>
    </fill>
    <fill>
      <patternFill patternType="solid">
        <fgColor theme="2"/>
        <bgColor indexed="64"/>
      </patternFill>
    </fill>
    <fill>
      <patternFill patternType="solid">
        <fgColor theme="8" tint="0.39997558519241921"/>
        <bgColor indexed="64"/>
      </patternFill>
    </fill>
    <fill>
      <patternFill patternType="solid">
        <fgColor rgb="FFBAECDB"/>
        <bgColor indexed="64"/>
      </patternFill>
    </fill>
    <fill>
      <patternFill patternType="solid">
        <fgColor rgb="FFFFEBEB"/>
        <bgColor indexed="64"/>
      </patternFill>
    </fill>
    <fill>
      <patternFill patternType="solid">
        <fgColor rgb="FFDCF0C6"/>
        <bgColor indexed="64"/>
      </patternFill>
    </fill>
    <fill>
      <patternFill patternType="solid">
        <fgColor rgb="FFEEF8E4"/>
        <bgColor indexed="64"/>
      </patternFill>
    </fill>
    <fill>
      <patternFill patternType="solid">
        <fgColor rgb="FFD8BEEC"/>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E2CFF1"/>
        <bgColor indexed="64"/>
      </patternFill>
    </fill>
    <fill>
      <patternFill patternType="solid">
        <fgColor rgb="FFCDF2FF"/>
        <bgColor indexed="64"/>
      </patternFill>
    </fill>
    <fill>
      <patternFill patternType="solid">
        <fgColor rgb="FF9FE6FF"/>
        <bgColor indexed="64"/>
      </patternFill>
    </fill>
    <fill>
      <patternFill patternType="solid">
        <fgColor rgb="FFFFD5D5"/>
        <bgColor indexed="64"/>
      </patternFill>
    </fill>
    <fill>
      <patternFill patternType="solid">
        <fgColor rgb="FFA80000"/>
        <bgColor indexed="64"/>
      </patternFill>
    </fill>
    <fill>
      <patternFill patternType="solid">
        <fgColor rgb="FFEDE2F6"/>
        <bgColor indexed="64"/>
      </patternFill>
    </fill>
    <fill>
      <patternFill patternType="solid">
        <fgColor rgb="FFFF9393"/>
        <bgColor indexed="64"/>
      </patternFill>
    </fill>
    <fill>
      <patternFill patternType="solid">
        <fgColor rgb="FFFFE5E5"/>
        <bgColor indexed="64"/>
      </patternFill>
    </fill>
    <fill>
      <patternFill patternType="solid">
        <fgColor rgb="FFFFFF93"/>
        <bgColor indexed="64"/>
      </patternFill>
    </fill>
    <fill>
      <patternFill patternType="solid">
        <fgColor rgb="FFA7FFCF"/>
        <bgColor indexed="64"/>
      </patternFill>
    </fill>
    <fill>
      <patternFill patternType="solid">
        <fgColor rgb="FFD9FEA8"/>
        <bgColor indexed="64"/>
      </patternFill>
    </fill>
    <fill>
      <patternFill patternType="solid">
        <fgColor rgb="FFC5C1FF"/>
        <bgColor indexed="64"/>
      </patternFill>
    </fill>
  </fills>
  <borders count="18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FF0000"/>
      </left>
      <right style="medium">
        <color rgb="FFFF0000"/>
      </right>
      <top style="medium">
        <color rgb="FFFF0000"/>
      </top>
      <bottom style="medium">
        <color rgb="FFFF0000"/>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rgb="FFFF0000"/>
      </bottom>
      <diagonal/>
    </border>
    <border>
      <left/>
      <right style="medium">
        <color rgb="FFFF0000"/>
      </right>
      <top/>
      <bottom/>
      <diagonal/>
    </border>
    <border>
      <left/>
      <right/>
      <top style="thin">
        <color indexed="64"/>
      </top>
      <bottom style="medium">
        <color rgb="FFFF0000"/>
      </bottom>
      <diagonal/>
    </border>
    <border>
      <left/>
      <right style="thin">
        <color rgb="FFFF0000"/>
      </right>
      <top/>
      <bottom style="thin">
        <color rgb="FFFF0000"/>
      </bottom>
      <diagonal/>
    </border>
    <border>
      <left/>
      <right style="thin">
        <color indexed="64"/>
      </right>
      <top style="thin">
        <color indexed="64"/>
      </top>
      <bottom style="medium">
        <color rgb="FFFF0000"/>
      </bottom>
      <diagonal/>
    </border>
    <border>
      <left/>
      <right style="medium">
        <color rgb="FFFF0000"/>
      </right>
      <top style="medium">
        <color rgb="FFFF0000"/>
      </top>
      <bottom/>
      <diagonal/>
    </border>
    <border>
      <left/>
      <right style="medium">
        <color rgb="FFFF0000"/>
      </right>
      <top style="thin">
        <color indexed="64"/>
      </top>
      <bottom/>
      <diagonal/>
    </border>
    <border>
      <left/>
      <right style="medium">
        <color rgb="FFFF0000"/>
      </right>
      <top style="thin">
        <color indexed="64"/>
      </top>
      <bottom style="thin">
        <color indexed="64"/>
      </bottom>
      <diagonal/>
    </border>
    <border>
      <left/>
      <right style="medium">
        <color rgb="FFFF0000"/>
      </right>
      <top/>
      <bottom style="thin">
        <color indexed="64"/>
      </bottom>
      <diagonal/>
    </border>
    <border>
      <left/>
      <right style="medium">
        <color rgb="FFFF0000"/>
      </right>
      <top style="thin">
        <color indexed="64"/>
      </top>
      <bottom style="medium">
        <color rgb="FFFF0000"/>
      </bottom>
      <diagonal/>
    </border>
    <border>
      <left style="thin">
        <color indexed="64"/>
      </left>
      <right style="thin">
        <color theme="1"/>
      </right>
      <top style="thin">
        <color indexed="64"/>
      </top>
      <bottom style="thin">
        <color indexed="64"/>
      </bottom>
      <diagonal/>
    </border>
    <border>
      <left/>
      <right style="medium">
        <color rgb="FFFF0000"/>
      </right>
      <top style="thin">
        <color indexed="64"/>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right/>
      <top style="thin">
        <color indexed="64"/>
      </top>
      <bottom style="thin">
        <color theme="1"/>
      </bottom>
      <diagonal/>
    </border>
    <border>
      <left/>
      <right style="thin">
        <color rgb="FFFF0000"/>
      </right>
      <top style="thin">
        <color indexed="64"/>
      </top>
      <bottom style="medium">
        <color indexed="64"/>
      </bottom>
      <diagonal/>
    </border>
    <border>
      <left/>
      <right style="thin">
        <color rgb="FFFF0000"/>
      </right>
      <top style="thin">
        <color indexed="64"/>
      </top>
      <bottom style="thin">
        <color indexed="64"/>
      </bottom>
      <diagonal/>
    </border>
    <border>
      <left/>
      <right style="thin">
        <color rgb="FFFF0000"/>
      </right>
      <top/>
      <bottom style="thin">
        <color indexed="64"/>
      </bottom>
      <diagonal/>
    </border>
    <border>
      <left/>
      <right style="thin">
        <color indexed="64"/>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top style="thin">
        <color indexed="64"/>
      </top>
      <bottom style="medium">
        <color rgb="FFFF0000"/>
      </bottom>
      <diagonal/>
    </border>
    <border>
      <left style="thin">
        <color rgb="FFFF0000"/>
      </left>
      <right/>
      <top/>
      <bottom style="thin">
        <color rgb="FFFF0000"/>
      </bottom>
      <diagonal/>
    </border>
    <border>
      <left/>
      <right style="thin">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bottom style="medium">
        <color indexed="64"/>
      </bottom>
      <diagonal/>
    </border>
    <border>
      <left/>
      <right style="thin">
        <color rgb="FFC00000"/>
      </right>
      <top style="thin">
        <color indexed="64"/>
      </top>
      <bottom style="thin">
        <color indexed="64"/>
      </bottom>
      <diagonal/>
    </border>
    <border>
      <left/>
      <right style="thin">
        <color rgb="FFC00000"/>
      </right>
      <top/>
      <bottom style="thin">
        <color indexed="64"/>
      </bottom>
      <diagonal/>
    </border>
    <border>
      <left style="thin">
        <color rgb="FFC00000"/>
      </left>
      <right style="thin">
        <color rgb="FFC00000"/>
      </right>
      <top style="thin">
        <color rgb="FFC00000"/>
      </top>
      <bottom style="thin">
        <color rgb="FFC00000"/>
      </bottom>
      <diagonal/>
    </border>
    <border>
      <left/>
      <right/>
      <top/>
      <bottom style="thin">
        <color rgb="FFC00000"/>
      </bottom>
      <diagonal/>
    </border>
    <border>
      <left/>
      <right style="thin">
        <color rgb="FFC00000"/>
      </right>
      <top/>
      <bottom/>
      <diagonal/>
    </border>
    <border>
      <left/>
      <right/>
      <top style="thin">
        <color rgb="FFC00000"/>
      </top>
      <bottom style="thin">
        <color rgb="FFC00000"/>
      </bottom>
      <diagonal/>
    </border>
    <border>
      <left style="thin">
        <color rgb="FFC00000"/>
      </left>
      <right style="thin">
        <color rgb="FFC00000"/>
      </right>
      <top/>
      <bottom style="thin">
        <color rgb="FFC00000"/>
      </bottom>
      <diagonal/>
    </border>
    <border>
      <left style="thin">
        <color rgb="FFC00000"/>
      </left>
      <right style="thin">
        <color rgb="FFC00000"/>
      </right>
      <top/>
      <bottom/>
      <diagonal/>
    </border>
    <border>
      <left style="thin">
        <color indexed="64"/>
      </left>
      <right style="thin">
        <color indexed="64"/>
      </right>
      <top style="thin">
        <color indexed="64"/>
      </top>
      <bottom style="thin">
        <color rgb="FFC00000"/>
      </bottom>
      <diagonal/>
    </border>
    <border>
      <left/>
      <right style="thin">
        <color rgb="FFC00000"/>
      </right>
      <top style="thin">
        <color indexed="64"/>
      </top>
      <bottom/>
      <diagonal/>
    </border>
    <border>
      <left style="medium">
        <color rgb="FFC00000"/>
      </left>
      <right/>
      <top style="medium">
        <color rgb="FFC00000"/>
      </top>
      <bottom/>
      <diagonal/>
    </border>
    <border>
      <left/>
      <right/>
      <top style="medium">
        <color rgb="FFC00000"/>
      </top>
      <bottom/>
      <diagonal/>
    </border>
    <border>
      <left style="thin">
        <color rgb="FFC00000"/>
      </left>
      <right style="medium">
        <color rgb="FFC00000"/>
      </right>
      <top style="medium">
        <color rgb="FFC00000"/>
      </top>
      <bottom/>
      <diagonal/>
    </border>
    <border>
      <left style="medium">
        <color rgb="FFC00000"/>
      </left>
      <right/>
      <top/>
      <bottom/>
      <diagonal/>
    </border>
    <border>
      <left style="thin">
        <color rgb="FFC00000"/>
      </left>
      <right style="medium">
        <color rgb="FFC00000"/>
      </right>
      <top style="thin">
        <color rgb="FFC00000"/>
      </top>
      <bottom style="thin">
        <color rgb="FFC00000"/>
      </bottom>
      <diagonal/>
    </border>
    <border>
      <left/>
      <right style="medium">
        <color rgb="FFC00000"/>
      </right>
      <top style="thin">
        <color rgb="FFC00000"/>
      </top>
      <bottom style="thin">
        <color indexed="64"/>
      </bottom>
      <diagonal/>
    </border>
    <border>
      <left style="medium">
        <color rgb="FFC00000"/>
      </left>
      <right/>
      <top style="thin">
        <color indexed="64"/>
      </top>
      <bottom style="thin">
        <color indexed="64"/>
      </bottom>
      <diagonal/>
    </border>
    <border>
      <left/>
      <right style="medium">
        <color rgb="FFC00000"/>
      </right>
      <top style="thin">
        <color indexed="64"/>
      </top>
      <bottom style="thin">
        <color indexed="64"/>
      </bottom>
      <diagonal/>
    </border>
    <border>
      <left style="medium">
        <color rgb="FFC00000"/>
      </left>
      <right/>
      <top style="thin">
        <color indexed="64"/>
      </top>
      <bottom style="medium">
        <color rgb="FFC00000"/>
      </bottom>
      <diagonal/>
    </border>
    <border>
      <left/>
      <right/>
      <top style="thin">
        <color indexed="64"/>
      </top>
      <bottom style="medium">
        <color rgb="FFC00000"/>
      </bottom>
      <diagonal/>
    </border>
    <border>
      <left/>
      <right style="medium">
        <color rgb="FFC00000"/>
      </right>
      <top style="thin">
        <color indexed="64"/>
      </top>
      <bottom style="medium">
        <color rgb="FFC00000"/>
      </bottom>
      <diagonal/>
    </border>
    <border>
      <left style="thin">
        <color rgb="FF0070C0"/>
      </left>
      <right style="thin">
        <color rgb="FF0070C0"/>
      </right>
      <top style="thin">
        <color rgb="FF0070C0"/>
      </top>
      <bottom/>
      <diagonal/>
    </border>
    <border>
      <left/>
      <right style="medium">
        <color rgb="FFC00000"/>
      </right>
      <top style="medium">
        <color rgb="FFC00000"/>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style="thin">
        <color rgb="FF002060"/>
      </right>
      <top style="medium">
        <color rgb="FFC00000"/>
      </top>
      <bottom style="thin">
        <color rgb="FF002060"/>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rgb="FF002060"/>
      </right>
      <top style="thin">
        <color rgb="FF002060"/>
      </top>
      <bottom style="thin">
        <color rgb="FF002060"/>
      </bottom>
      <diagonal/>
    </border>
    <border>
      <left style="thin">
        <color indexed="64"/>
      </left>
      <right style="medium">
        <color rgb="FFC00000"/>
      </right>
      <top style="thin">
        <color indexed="64"/>
      </top>
      <bottom style="thin">
        <color indexed="64"/>
      </bottom>
      <diagonal/>
    </border>
    <border>
      <left style="medium">
        <color rgb="FFC00000"/>
      </left>
      <right style="thin">
        <color rgb="FF002060"/>
      </right>
      <top style="thin">
        <color rgb="FF002060"/>
      </top>
      <bottom style="medium">
        <color rgb="FFC00000"/>
      </bottom>
      <diagonal/>
    </border>
    <border>
      <left style="thin">
        <color indexed="64"/>
      </left>
      <right/>
      <top style="thin">
        <color indexed="64"/>
      </top>
      <bottom style="medium">
        <color rgb="FFC00000"/>
      </bottom>
      <diagonal/>
    </border>
    <border>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indexed="64"/>
      </right>
      <top style="medium">
        <color rgb="FFC00000"/>
      </top>
      <bottom style="medium">
        <color rgb="FFC00000"/>
      </bottom>
      <diagonal/>
    </border>
    <border>
      <left style="medium">
        <color rgb="FFC00000"/>
      </left>
      <right style="thin">
        <color indexed="64"/>
      </right>
      <top style="thin">
        <color indexed="64"/>
      </top>
      <bottom style="thin">
        <color indexed="64"/>
      </bottom>
      <diagonal/>
    </border>
    <border>
      <left style="medium">
        <color rgb="FFC00000"/>
      </left>
      <right/>
      <top style="medium">
        <color rgb="FFC00000"/>
      </top>
      <bottom style="medium">
        <color rgb="FFC00000"/>
      </bottom>
      <diagonal/>
    </border>
    <border>
      <left/>
      <right style="medium">
        <color rgb="FFC00000"/>
      </right>
      <top/>
      <bottom/>
      <diagonal/>
    </border>
    <border>
      <left/>
      <right style="medium">
        <color rgb="FFC00000"/>
      </right>
      <top style="medium">
        <color rgb="FFC00000"/>
      </top>
      <bottom style="thin">
        <color indexed="64"/>
      </bottom>
      <diagonal/>
    </border>
    <border>
      <left style="medium">
        <color rgb="FFC00000"/>
      </left>
      <right style="thin">
        <color indexed="64"/>
      </right>
      <top/>
      <bottom/>
      <diagonal/>
    </border>
    <border>
      <left/>
      <right/>
      <top style="medium">
        <color rgb="FFC00000"/>
      </top>
      <bottom style="medium">
        <color rgb="FFC00000"/>
      </bottom>
      <diagonal/>
    </border>
    <border>
      <left/>
      <right style="medium">
        <color indexed="64"/>
      </right>
      <top/>
      <bottom style="medium">
        <color rgb="FFC00000"/>
      </bottom>
      <diagonal/>
    </border>
    <border>
      <left/>
      <right style="medium">
        <color indexed="64"/>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indexed="64"/>
      </left>
      <right style="medium">
        <color rgb="FFC00000"/>
      </right>
      <top/>
      <bottom style="thin">
        <color indexed="64"/>
      </bottom>
      <diagonal/>
    </border>
    <border>
      <left style="thin">
        <color indexed="64"/>
      </left>
      <right style="medium">
        <color rgb="FFC00000"/>
      </right>
      <top/>
      <bottom style="medium">
        <color indexed="64"/>
      </bottom>
      <diagonal/>
    </border>
    <border>
      <left style="medium">
        <color rgb="FFC00000"/>
      </left>
      <right style="medium">
        <color rgb="FFC00000"/>
      </right>
      <top/>
      <bottom/>
      <diagonal/>
    </border>
    <border>
      <left style="medium">
        <color indexed="64"/>
      </left>
      <right style="medium">
        <color rgb="FFC00000"/>
      </right>
      <top style="medium">
        <color rgb="FFC00000"/>
      </top>
      <bottom/>
      <diagonal/>
    </border>
    <border>
      <left style="medium">
        <color indexed="64"/>
      </left>
      <right style="medium">
        <color rgb="FFC00000"/>
      </right>
      <top/>
      <bottom/>
      <diagonal/>
    </border>
    <border>
      <left/>
      <right style="medium">
        <color rgb="FFC00000"/>
      </right>
      <top style="medium">
        <color rgb="FFC00000"/>
      </top>
      <bottom style="medium">
        <color rgb="FFC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rgb="FFC00000"/>
      </left>
      <right style="medium">
        <color rgb="FFC00000"/>
      </right>
      <top style="medium">
        <color rgb="FFC00000"/>
      </top>
      <bottom style="medium">
        <color indexed="64"/>
      </bottom>
      <diagonal/>
    </border>
    <border>
      <left style="medium">
        <color rgb="FFC00000"/>
      </left>
      <right/>
      <top/>
      <bottom style="medium">
        <color indexed="64"/>
      </bottom>
      <diagonal/>
    </border>
    <border>
      <left style="medium">
        <color rgb="FFC00000"/>
      </left>
      <right/>
      <top style="medium">
        <color rgb="FFC00000"/>
      </top>
      <bottom style="medium">
        <color indexed="64"/>
      </bottom>
      <diagonal/>
    </border>
  </borders>
  <cellStyleXfs count="4">
    <xf numFmtId="0" fontId="0" fillId="0" borderId="0"/>
    <xf numFmtId="0" fontId="8" fillId="0" borderId="0"/>
    <xf numFmtId="0" fontId="74" fillId="0" borderId="0"/>
    <xf numFmtId="0" fontId="74" fillId="0" borderId="0"/>
  </cellStyleXfs>
  <cellXfs count="1701">
    <xf numFmtId="0" fontId="0" fillId="0" borderId="0" xfId="0"/>
    <xf numFmtId="0" fontId="2" fillId="0" borderId="0" xfId="0" applyFont="1"/>
    <xf numFmtId="0" fontId="2" fillId="0" borderId="1" xfId="0" applyFont="1" applyBorder="1"/>
    <xf numFmtId="0" fontId="2" fillId="0" borderId="2" xfId="0" applyFont="1" applyBorder="1"/>
    <xf numFmtId="0" fontId="7" fillId="0" borderId="2" xfId="0" applyFont="1" applyBorder="1"/>
    <xf numFmtId="0" fontId="2" fillId="0" borderId="3" xfId="0" applyFont="1" applyBorder="1"/>
    <xf numFmtId="0" fontId="2" fillId="0" borderId="4" xfId="0" applyFont="1" applyBorder="1"/>
    <xf numFmtId="0" fontId="6" fillId="0" borderId="4" xfId="0" applyFont="1" applyBorder="1"/>
    <xf numFmtId="0" fontId="2" fillId="0" borderId="5" xfId="0" applyFont="1" applyBorder="1"/>
    <xf numFmtId="0" fontId="2" fillId="0" borderId="6" xfId="0" applyFont="1" applyBorder="1"/>
    <xf numFmtId="0" fontId="2" fillId="0" borderId="7" xfId="0" applyFont="1" applyBorder="1"/>
    <xf numFmtId="0" fontId="3" fillId="0" borderId="7" xfId="0" applyFont="1" applyBorder="1"/>
    <xf numFmtId="0" fontId="4" fillId="0" borderId="7" xfId="0" applyFont="1" applyBorder="1"/>
    <xf numFmtId="0" fontId="6" fillId="0" borderId="7" xfId="0" applyFont="1" applyBorder="1"/>
    <xf numFmtId="0" fontId="8" fillId="0" borderId="7" xfId="0" applyFont="1" applyBorder="1"/>
    <xf numFmtId="0" fontId="2" fillId="0" borderId="8" xfId="0" applyFont="1" applyBorder="1"/>
    <xf numFmtId="0" fontId="4" fillId="0" borderId="8" xfId="0" applyFont="1" applyBorder="1"/>
    <xf numFmtId="0" fontId="6" fillId="0" borderId="8" xfId="0" applyFont="1" applyBorder="1"/>
    <xf numFmtId="0" fontId="2" fillId="0" borderId="9" xfId="0" applyFont="1" applyBorder="1"/>
    <xf numFmtId="0" fontId="4" fillId="0" borderId="9" xfId="0" applyFont="1" applyBorder="1"/>
    <xf numFmtId="0" fontId="6" fillId="0" borderId="9" xfId="0" applyFont="1" applyBorder="1"/>
    <xf numFmtId="0" fontId="8" fillId="0" borderId="9" xfId="0" applyFont="1" applyBorder="1"/>
    <xf numFmtId="0" fontId="2" fillId="0" borderId="10" xfId="0" applyFont="1" applyBorder="1"/>
    <xf numFmtId="0" fontId="3" fillId="0" borderId="10" xfId="0" applyFont="1" applyBorder="1"/>
    <xf numFmtId="0" fontId="2" fillId="0" borderId="11" xfId="0" applyFont="1" applyBorder="1"/>
    <xf numFmtId="0" fontId="3" fillId="0" borderId="11" xfId="0" applyFont="1" applyBorder="1"/>
    <xf numFmtId="0" fontId="4" fillId="0" borderId="11" xfId="0" applyFont="1" applyBorder="1"/>
    <xf numFmtId="0" fontId="6" fillId="0" borderId="11" xfId="0" applyFont="1" applyBorder="1"/>
    <xf numFmtId="0" fontId="8" fillId="0" borderId="11" xfId="0" applyFont="1" applyBorder="1"/>
    <xf numFmtId="0" fontId="3" fillId="0" borderId="11" xfId="0" applyFont="1" applyBorder="1" applyAlignment="1">
      <alignment horizontal="right"/>
    </xf>
    <xf numFmtId="0" fontId="2" fillId="0" borderId="12" xfId="0" applyFont="1" applyBorder="1"/>
    <xf numFmtId="0" fontId="4" fillId="0" borderId="12" xfId="0" applyFont="1" applyBorder="1"/>
    <xf numFmtId="0" fontId="6" fillId="0" borderId="12" xfId="0" applyFont="1" applyBorder="1"/>
    <xf numFmtId="0" fontId="8" fillId="0" borderId="12" xfId="0" applyFont="1" applyBorder="1"/>
    <xf numFmtId="0" fontId="6" fillId="0" borderId="12" xfId="0" applyFont="1" applyBorder="1" applyAlignment="1">
      <alignment horizontal="center"/>
    </xf>
    <xf numFmtId="0" fontId="2" fillId="0" borderId="13" xfId="0" applyFont="1" applyBorder="1"/>
    <xf numFmtId="0" fontId="4" fillId="0" borderId="13" xfId="0" applyFont="1" applyBorder="1"/>
    <xf numFmtId="0" fontId="6" fillId="0" borderId="13" xfId="0" applyFont="1" applyBorder="1"/>
    <xf numFmtId="0" fontId="8" fillId="0" borderId="13" xfId="0" applyFont="1" applyBorder="1"/>
    <xf numFmtId="0" fontId="2" fillId="0" borderId="14" xfId="0" applyFont="1" applyBorder="1"/>
    <xf numFmtId="0" fontId="3" fillId="0" borderId="14" xfId="0" applyFont="1" applyBorder="1"/>
    <xf numFmtId="0" fontId="2" fillId="0" borderId="14" xfId="0" applyFont="1" applyBorder="1" applyAlignment="1">
      <alignment horizontal="center"/>
    </xf>
    <xf numFmtId="0" fontId="6" fillId="0" borderId="14" xfId="0" applyFont="1" applyBorder="1" applyAlignment="1">
      <alignment horizontal="center"/>
    </xf>
    <xf numFmtId="0" fontId="12" fillId="0" borderId="8" xfId="0" applyFont="1" applyBorder="1"/>
    <xf numFmtId="0" fontId="12" fillId="0" borderId="9" xfId="0" applyFont="1" applyBorder="1"/>
    <xf numFmtId="0" fontId="12" fillId="0" borderId="12" xfId="0" applyFont="1" applyBorder="1"/>
    <xf numFmtId="0" fontId="12" fillId="0" borderId="11" xfId="0" applyFont="1" applyBorder="1"/>
    <xf numFmtId="0" fontId="12" fillId="0" borderId="13" xfId="0" applyFont="1" applyBorder="1"/>
    <xf numFmtId="0" fontId="12" fillId="0" borderId="7" xfId="0" applyFont="1" applyBorder="1"/>
    <xf numFmtId="0" fontId="2" fillId="0" borderId="10" xfId="0" applyFont="1" applyBorder="1" applyAlignment="1">
      <alignment horizontal="center"/>
    </xf>
    <xf numFmtId="0" fontId="4" fillId="2" borderId="7" xfId="0" applyFont="1" applyFill="1" applyBorder="1"/>
    <xf numFmtId="0" fontId="2" fillId="2" borderId="7" xfId="0" applyFont="1" applyFill="1" applyBorder="1"/>
    <xf numFmtId="0" fontId="2" fillId="2" borderId="9" xfId="0" applyFont="1" applyFill="1" applyBorder="1"/>
    <xf numFmtId="0" fontId="3" fillId="2" borderId="7" xfId="0" applyFont="1" applyFill="1" applyBorder="1"/>
    <xf numFmtId="0" fontId="3" fillId="3" borderId="4" xfId="0" applyFont="1" applyFill="1" applyBorder="1"/>
    <xf numFmtId="0" fontId="4" fillId="3" borderId="4" xfId="0" applyFont="1" applyFill="1" applyBorder="1"/>
    <xf numFmtId="0" fontId="4" fillId="3" borderId="4" xfId="0" applyFont="1" applyFill="1" applyBorder="1" applyAlignment="1">
      <alignment horizontal="right"/>
    </xf>
    <xf numFmtId="0" fontId="3" fillId="4" borderId="4" xfId="0" applyFont="1" applyFill="1" applyBorder="1"/>
    <xf numFmtId="0" fontId="4" fillId="4" borderId="4" xfId="0" applyFont="1" applyFill="1" applyBorder="1"/>
    <xf numFmtId="0" fontId="4" fillId="4" borderId="4" xfId="0" applyFont="1" applyFill="1" applyBorder="1" applyAlignment="1">
      <alignment horizontal="right"/>
    </xf>
    <xf numFmtId="0" fontId="3" fillId="5" borderId="0" xfId="0" applyFont="1" applyFill="1"/>
    <xf numFmtId="0" fontId="4" fillId="5" borderId="0" xfId="0" applyFont="1" applyFill="1"/>
    <xf numFmtId="0" fontId="4" fillId="5" borderId="0" xfId="0" applyFont="1" applyFill="1" applyAlignment="1">
      <alignment horizontal="right"/>
    </xf>
    <xf numFmtId="0" fontId="6" fillId="3" borderId="8" xfId="0" applyFont="1" applyFill="1" applyBorder="1"/>
    <xf numFmtId="0" fontId="6" fillId="3" borderId="7" xfId="0" applyFont="1" applyFill="1" applyBorder="1"/>
    <xf numFmtId="0" fontId="2" fillId="3" borderId="7" xfId="0" applyFont="1" applyFill="1" applyBorder="1"/>
    <xf numFmtId="0" fontId="2" fillId="3" borderId="9" xfId="0" applyFont="1" applyFill="1" applyBorder="1"/>
    <xf numFmtId="0" fontId="6" fillId="3" borderId="12" xfId="0" applyFont="1" applyFill="1" applyBorder="1"/>
    <xf numFmtId="0" fontId="6" fillId="5" borderId="8" xfId="0" applyFont="1" applyFill="1" applyBorder="1"/>
    <xf numFmtId="0" fontId="6" fillId="5" borderId="7" xfId="0" applyFont="1" applyFill="1" applyBorder="1"/>
    <xf numFmtId="0" fontId="2" fillId="5" borderId="7" xfId="0" applyFont="1" applyFill="1" applyBorder="1"/>
    <xf numFmtId="0" fontId="6" fillId="6" borderId="8" xfId="0" applyFont="1" applyFill="1" applyBorder="1"/>
    <xf numFmtId="0" fontId="6" fillId="6" borderId="7" xfId="0" applyFont="1" applyFill="1" applyBorder="1"/>
    <xf numFmtId="0" fontId="2" fillId="6" borderId="7" xfId="0" applyFont="1" applyFill="1" applyBorder="1"/>
    <xf numFmtId="0" fontId="14" fillId="0" borderId="12" xfId="0" applyFont="1" applyBorder="1"/>
    <xf numFmtId="0" fontId="14" fillId="0" borderId="8" xfId="0" applyFont="1" applyBorder="1"/>
    <xf numFmtId="0" fontId="14" fillId="3" borderId="9" xfId="0" applyFont="1" applyFill="1" applyBorder="1"/>
    <xf numFmtId="0" fontId="14" fillId="6" borderId="9" xfId="0" applyFont="1" applyFill="1" applyBorder="1"/>
    <xf numFmtId="0" fontId="13" fillId="0" borderId="7" xfId="0" applyFont="1" applyBorder="1"/>
    <xf numFmtId="0" fontId="32" fillId="0" borderId="7" xfId="0" applyFont="1" applyBorder="1"/>
    <xf numFmtId="0" fontId="33" fillId="0" borderId="7" xfId="0" applyFont="1" applyBorder="1"/>
    <xf numFmtId="0" fontId="4" fillId="0" borderId="7" xfId="0" applyFont="1" applyBorder="1" applyAlignment="1">
      <alignment horizontal="right"/>
    </xf>
    <xf numFmtId="0" fontId="34" fillId="0" borderId="7" xfId="0" applyFont="1" applyBorder="1"/>
    <xf numFmtId="0" fontId="10" fillId="0" borderId="7" xfId="0" applyFont="1" applyBorder="1" applyAlignment="1">
      <alignment horizontal="right"/>
    </xf>
    <xf numFmtId="0" fontId="3" fillId="2" borderId="0" xfId="0" applyFont="1" applyFill="1"/>
    <xf numFmtId="0" fontId="2" fillId="2" borderId="0" xfId="0" applyFont="1" applyFill="1"/>
    <xf numFmtId="0" fontId="6" fillId="2" borderId="0" xfId="0" applyFont="1" applyFill="1"/>
    <xf numFmtId="0" fontId="2" fillId="2" borderId="2" xfId="0" applyFont="1" applyFill="1" applyBorder="1"/>
    <xf numFmtId="0" fontId="2" fillId="2" borderId="4" xfId="0" applyFont="1" applyFill="1" applyBorder="1"/>
    <xf numFmtId="0" fontId="6" fillId="2" borderId="4" xfId="0" applyFont="1" applyFill="1" applyBorder="1"/>
    <xf numFmtId="0" fontId="5" fillId="2" borderId="4" xfId="0" applyFont="1" applyFill="1" applyBorder="1"/>
    <xf numFmtId="0" fontId="2" fillId="2" borderId="6" xfId="0" applyFont="1" applyFill="1" applyBorder="1"/>
    <xf numFmtId="0" fontId="4" fillId="2" borderId="2" xfId="0" applyFont="1" applyFill="1" applyBorder="1" applyAlignment="1">
      <alignment horizontal="center"/>
    </xf>
    <xf numFmtId="0" fontId="7" fillId="2" borderId="4" xfId="0" applyFont="1" applyFill="1" applyBorder="1"/>
    <xf numFmtId="0" fontId="7" fillId="2" borderId="0" xfId="0" applyFont="1" applyFill="1"/>
    <xf numFmtId="0" fontId="9" fillId="2" borderId="0" xfId="0" applyFont="1" applyFill="1" applyAlignment="1">
      <alignment horizontal="center"/>
    </xf>
    <xf numFmtId="0" fontId="2" fillId="3" borderId="5" xfId="0" applyFont="1" applyFill="1" applyBorder="1"/>
    <xf numFmtId="0" fontId="2" fillId="3" borderId="4" xfId="0" applyFont="1" applyFill="1" applyBorder="1"/>
    <xf numFmtId="0" fontId="2" fillId="3" borderId="6" xfId="0" applyFont="1" applyFill="1" applyBorder="1"/>
    <xf numFmtId="0" fontId="2" fillId="3" borderId="1" xfId="0" applyFont="1" applyFill="1" applyBorder="1"/>
    <xf numFmtId="0" fontId="2" fillId="3" borderId="0" xfId="0" applyFont="1" applyFill="1"/>
    <xf numFmtId="0" fontId="2" fillId="3" borderId="0" xfId="0" applyFont="1" applyFill="1" applyAlignment="1">
      <alignment horizontal="center"/>
    </xf>
    <xf numFmtId="0" fontId="5" fillId="3" borderId="0" xfId="0" applyFont="1" applyFill="1"/>
    <xf numFmtId="0" fontId="6" fillId="3" borderId="0" xfId="0" applyFont="1" applyFill="1"/>
    <xf numFmtId="0" fontId="2" fillId="3" borderId="2" xfId="0" applyFont="1" applyFill="1" applyBorder="1" applyAlignment="1">
      <alignment horizontal="right"/>
    </xf>
    <xf numFmtId="0" fontId="2" fillId="3" borderId="2" xfId="0" applyFont="1" applyFill="1" applyBorder="1"/>
    <xf numFmtId="0" fontId="7" fillId="3" borderId="0" xfId="0" applyFont="1" applyFill="1" applyAlignment="1">
      <alignment horizontal="center"/>
    </xf>
    <xf numFmtId="0" fontId="7" fillId="3" borderId="2" xfId="0" applyFont="1" applyFill="1" applyBorder="1"/>
    <xf numFmtId="0" fontId="2" fillId="2" borderId="1" xfId="0" applyFont="1" applyFill="1" applyBorder="1"/>
    <xf numFmtId="0" fontId="2" fillId="2" borderId="5" xfId="0" applyFont="1" applyFill="1" applyBorder="1"/>
    <xf numFmtId="0" fontId="2" fillId="2" borderId="8" xfId="0" applyFont="1" applyFill="1" applyBorder="1"/>
    <xf numFmtId="0" fontId="3" fillId="3" borderId="5" xfId="0" applyFont="1" applyFill="1" applyBorder="1"/>
    <xf numFmtId="0" fontId="3" fillId="3" borderId="1" xfId="0" applyFont="1" applyFill="1" applyBorder="1"/>
    <xf numFmtId="0" fontId="4" fillId="3" borderId="0" xfId="0" applyFont="1" applyFill="1"/>
    <xf numFmtId="0" fontId="4" fillId="3" borderId="0" xfId="0" applyFont="1" applyFill="1" applyAlignment="1">
      <alignment horizontal="right"/>
    </xf>
    <xf numFmtId="0" fontId="3" fillId="3" borderId="0" xfId="0" applyFont="1" applyFill="1"/>
    <xf numFmtId="0" fontId="3" fillId="4" borderId="5" xfId="0" applyFont="1" applyFill="1" applyBorder="1"/>
    <xf numFmtId="0" fontId="3" fillId="4" borderId="1" xfId="0" applyFont="1" applyFill="1" applyBorder="1"/>
    <xf numFmtId="0" fontId="4" fillId="4" borderId="0" xfId="0" applyFont="1" applyFill="1"/>
    <xf numFmtId="0" fontId="3" fillId="4" borderId="0" xfId="0" applyFont="1" applyFill="1"/>
    <xf numFmtId="0" fontId="4" fillId="4" borderId="0" xfId="0" applyFont="1" applyFill="1" applyAlignment="1">
      <alignment horizontal="right"/>
    </xf>
    <xf numFmtId="0" fontId="3" fillId="4" borderId="8" xfId="0" applyFont="1" applyFill="1" applyBorder="1"/>
    <xf numFmtId="0" fontId="4" fillId="4" borderId="7" xfId="0" applyFont="1" applyFill="1" applyBorder="1"/>
    <xf numFmtId="0" fontId="3" fillId="4" borderId="7" xfId="0" applyFont="1" applyFill="1" applyBorder="1"/>
    <xf numFmtId="0" fontId="3" fillId="4" borderId="9" xfId="0" applyFont="1" applyFill="1" applyBorder="1"/>
    <xf numFmtId="0" fontId="3" fillId="5" borderId="1" xfId="0" applyFont="1" applyFill="1" applyBorder="1"/>
    <xf numFmtId="0" fontId="2" fillId="5" borderId="8" xfId="0" applyFont="1" applyFill="1" applyBorder="1"/>
    <xf numFmtId="0" fontId="2" fillId="5" borderId="9" xfId="0" applyFont="1" applyFill="1" applyBorder="1"/>
    <xf numFmtId="0" fontId="15" fillId="2" borderId="0" xfId="0" applyFont="1" applyFill="1"/>
    <xf numFmtId="0" fontId="17" fillId="3" borderId="4" xfId="0" applyFont="1" applyFill="1" applyBorder="1"/>
    <xf numFmtId="0" fontId="17" fillId="4" borderId="4" xfId="0" applyFont="1" applyFill="1" applyBorder="1"/>
    <xf numFmtId="0" fontId="17" fillId="5" borderId="0" xfId="0" applyFont="1" applyFill="1"/>
    <xf numFmtId="0" fontId="18" fillId="3" borderId="0" xfId="0" applyFont="1" applyFill="1"/>
    <xf numFmtId="0" fontId="18" fillId="4" borderId="0" xfId="0" applyFont="1" applyFill="1"/>
    <xf numFmtId="0" fontId="18" fillId="5" borderId="0" xfId="0" applyFont="1" applyFill="1"/>
    <xf numFmtId="0" fontId="17" fillId="0" borderId="8" xfId="0" applyFont="1" applyBorder="1"/>
    <xf numFmtId="0" fontId="17" fillId="0" borderId="11" xfId="0" applyFont="1" applyBorder="1"/>
    <xf numFmtId="0" fontId="17" fillId="2" borderId="7" xfId="0" applyFont="1" applyFill="1" applyBorder="1"/>
    <xf numFmtId="0" fontId="15" fillId="3" borderId="0" xfId="0" applyFont="1" applyFill="1"/>
    <xf numFmtId="0" fontId="19" fillId="3" borderId="0" xfId="0" applyFont="1" applyFill="1" applyAlignment="1">
      <alignment horizontal="left"/>
    </xf>
    <xf numFmtId="0" fontId="16" fillId="2" borderId="4" xfId="0" applyFont="1" applyFill="1" applyBorder="1"/>
    <xf numFmtId="0" fontId="17" fillId="2" borderId="0" xfId="0" applyFont="1" applyFill="1"/>
    <xf numFmtId="0" fontId="3" fillId="3" borderId="8" xfId="0" applyFont="1" applyFill="1" applyBorder="1"/>
    <xf numFmtId="0" fontId="3" fillId="3" borderId="7" xfId="0" applyFont="1" applyFill="1" applyBorder="1"/>
    <xf numFmtId="0" fontId="4" fillId="3" borderId="7" xfId="0" applyFont="1" applyFill="1" applyBorder="1"/>
    <xf numFmtId="0" fontId="3" fillId="3" borderId="9" xfId="0" applyFont="1" applyFill="1" applyBorder="1"/>
    <xf numFmtId="0" fontId="17" fillId="0" borderId="11" xfId="0" applyFont="1" applyBorder="1" applyAlignment="1">
      <alignment horizontal="center"/>
    </xf>
    <xf numFmtId="0" fontId="15" fillId="0" borderId="7" xfId="0" applyFont="1" applyBorder="1"/>
    <xf numFmtId="0" fontId="21" fillId="2" borderId="0" xfId="0" applyFont="1" applyFill="1" applyAlignment="1">
      <alignment horizontal="right"/>
    </xf>
    <xf numFmtId="0" fontId="22" fillId="2" borderId="0" xfId="0" applyFont="1" applyFill="1" applyAlignment="1">
      <alignment horizontal="right"/>
    </xf>
    <xf numFmtId="0" fontId="6" fillId="3" borderId="11" xfId="0" applyFont="1" applyFill="1" applyBorder="1"/>
    <xf numFmtId="0" fontId="2" fillId="3" borderId="11" xfId="0" applyFont="1" applyFill="1" applyBorder="1"/>
    <xf numFmtId="0" fontId="2" fillId="3" borderId="13" xfId="0" applyFont="1" applyFill="1" applyBorder="1"/>
    <xf numFmtId="0" fontId="2" fillId="6" borderId="9" xfId="0" applyFont="1" applyFill="1" applyBorder="1"/>
    <xf numFmtId="0" fontId="14" fillId="5" borderId="9" xfId="0" applyFont="1" applyFill="1" applyBorder="1"/>
    <xf numFmtId="0" fontId="15" fillId="2" borderId="0" xfId="0" applyFont="1" applyFill="1" applyAlignment="1">
      <alignment horizontal="center"/>
    </xf>
    <xf numFmtId="0" fontId="20" fillId="2" borderId="0" xfId="0" applyFont="1" applyFill="1"/>
    <xf numFmtId="0" fontId="18" fillId="0" borderId="7" xfId="0" applyFont="1" applyBorder="1"/>
    <xf numFmtId="0" fontId="23" fillId="0" borderId="7" xfId="0" applyFont="1" applyBorder="1"/>
    <xf numFmtId="0" fontId="5" fillId="3" borderId="0" xfId="0" applyFont="1" applyFill="1" applyAlignment="1">
      <alignment horizontal="right"/>
    </xf>
    <xf numFmtId="0" fontId="15" fillId="3" borderId="7" xfId="0" applyFont="1" applyFill="1" applyBorder="1"/>
    <xf numFmtId="0" fontId="12" fillId="3" borderId="0" xfId="0" applyFont="1" applyFill="1"/>
    <xf numFmtId="0" fontId="2" fillId="7" borderId="1" xfId="0" applyFont="1" applyFill="1" applyBorder="1"/>
    <xf numFmtId="0" fontId="2" fillId="7" borderId="2" xfId="0" applyFont="1" applyFill="1" applyBorder="1"/>
    <xf numFmtId="0" fontId="2" fillId="7" borderId="8" xfId="0" applyFont="1" applyFill="1" applyBorder="1"/>
    <xf numFmtId="0" fontId="2" fillId="7" borderId="9" xfId="0" applyFont="1" applyFill="1" applyBorder="1"/>
    <xf numFmtId="0" fontId="2" fillId="7" borderId="7" xfId="0" applyFont="1" applyFill="1" applyBorder="1"/>
    <xf numFmtId="0" fontId="2" fillId="8" borderId="5" xfId="0" applyFont="1" applyFill="1" applyBorder="1"/>
    <xf numFmtId="0" fontId="16" fillId="8" borderId="4" xfId="0" applyFont="1" applyFill="1" applyBorder="1"/>
    <xf numFmtId="0" fontId="2" fillId="8" borderId="4" xfId="0" applyFont="1" applyFill="1" applyBorder="1"/>
    <xf numFmtId="0" fontId="2" fillId="8" borderId="6" xfId="0" applyFont="1" applyFill="1" applyBorder="1"/>
    <xf numFmtId="0" fontId="2" fillId="8" borderId="1" xfId="0" applyFont="1" applyFill="1" applyBorder="1"/>
    <xf numFmtId="0" fontId="2" fillId="8" borderId="0" xfId="0" applyFont="1" applyFill="1"/>
    <xf numFmtId="0" fontId="2" fillId="8" borderId="2" xfId="0" applyFont="1" applyFill="1" applyBorder="1"/>
    <xf numFmtId="0" fontId="15" fillId="8" borderId="0" xfId="0" applyFont="1" applyFill="1"/>
    <xf numFmtId="0" fontId="23" fillId="8" borderId="0" xfId="0" applyFont="1" applyFill="1"/>
    <xf numFmtId="0" fontId="24" fillId="8" borderId="0" xfId="0" applyFont="1" applyFill="1"/>
    <xf numFmtId="0" fontId="23" fillId="8" borderId="0" xfId="0" applyFont="1" applyFill="1" applyAlignment="1">
      <alignment horizontal="right"/>
    </xf>
    <xf numFmtId="0" fontId="7" fillId="8" borderId="1" xfId="0" applyFont="1" applyFill="1" applyBorder="1"/>
    <xf numFmtId="0" fontId="7" fillId="8" borderId="2" xfId="0" applyFont="1" applyFill="1" applyBorder="1"/>
    <xf numFmtId="0" fontId="17" fillId="8" borderId="0" xfId="0" applyFont="1" applyFill="1"/>
    <xf numFmtId="0" fontId="17" fillId="8" borderId="0" xfId="0" applyFont="1" applyFill="1" applyAlignment="1">
      <alignment horizontal="center"/>
    </xf>
    <xf numFmtId="0" fontId="23" fillId="8" borderId="4" xfId="0" applyFont="1" applyFill="1" applyBorder="1"/>
    <xf numFmtId="0" fontId="3" fillId="0" borderId="1" xfId="0" applyFont="1" applyBorder="1"/>
    <xf numFmtId="0" fontId="3" fillId="8" borderId="1" xfId="0" applyFont="1" applyFill="1" applyBorder="1"/>
    <xf numFmtId="0" fontId="3" fillId="8" borderId="0" xfId="0" applyFont="1" applyFill="1"/>
    <xf numFmtId="0" fontId="18" fillId="8" borderId="0" xfId="0" applyFont="1" applyFill="1"/>
    <xf numFmtId="0" fontId="25" fillId="8" borderId="0" xfId="0" applyFont="1" applyFill="1"/>
    <xf numFmtId="0" fontId="18" fillId="8" borderId="0" xfId="0" applyFont="1" applyFill="1" applyAlignment="1">
      <alignment horizontal="right"/>
    </xf>
    <xf numFmtId="0" fontId="3" fillId="8" borderId="2" xfId="0" applyFont="1" applyFill="1" applyBorder="1"/>
    <xf numFmtId="0" fontId="3" fillId="0" borderId="2" xfId="0" applyFont="1" applyBorder="1"/>
    <xf numFmtId="0" fontId="26" fillId="0" borderId="0" xfId="0" applyFont="1"/>
    <xf numFmtId="0" fontId="27" fillId="0" borderId="1" xfId="0" applyFont="1" applyBorder="1"/>
    <xf numFmtId="0" fontId="27" fillId="8" borderId="5" xfId="0" applyFont="1" applyFill="1" applyBorder="1"/>
    <xf numFmtId="0" fontId="28" fillId="8" borderId="4" xfId="0" applyFont="1" applyFill="1" applyBorder="1"/>
    <xf numFmtId="0" fontId="27" fillId="8" borderId="4" xfId="0" applyFont="1" applyFill="1" applyBorder="1"/>
    <xf numFmtId="0" fontId="29" fillId="8" borderId="4" xfId="0" applyFont="1" applyFill="1" applyBorder="1"/>
    <xf numFmtId="0" fontId="27" fillId="8" borderId="6" xfId="0" applyFont="1" applyFill="1" applyBorder="1"/>
    <xf numFmtId="0" fontId="27" fillId="0" borderId="2" xfId="0" applyFont="1" applyBorder="1"/>
    <xf numFmtId="0" fontId="30" fillId="0" borderId="0" xfId="0" applyFont="1"/>
    <xf numFmtId="0" fontId="4" fillId="0" borderId="1" xfId="0" applyFont="1" applyBorder="1"/>
    <xf numFmtId="0" fontId="4" fillId="8" borderId="1" xfId="0" applyFont="1" applyFill="1" applyBorder="1"/>
    <xf numFmtId="0" fontId="18" fillId="8" borderId="0" xfId="0" applyFont="1" applyFill="1" applyAlignment="1">
      <alignment horizontal="center"/>
    </xf>
    <xf numFmtId="0" fontId="4" fillId="8" borderId="2" xfId="0" applyFont="1" applyFill="1" applyBorder="1"/>
    <xf numFmtId="0" fontId="4" fillId="0" borderId="2" xfId="0" applyFont="1" applyBorder="1"/>
    <xf numFmtId="0" fontId="31" fillId="0" borderId="0" xfId="0" applyFont="1"/>
    <xf numFmtId="0" fontId="25" fillId="8" borderId="4" xfId="0" applyFont="1" applyFill="1" applyBorder="1"/>
    <xf numFmtId="0" fontId="18" fillId="8" borderId="4" xfId="0" applyFont="1" applyFill="1" applyBorder="1" applyAlignment="1">
      <alignment horizontal="right"/>
    </xf>
    <xf numFmtId="0" fontId="8" fillId="0" borderId="8" xfId="0" applyFont="1" applyBorder="1"/>
    <xf numFmtId="0" fontId="17" fillId="8" borderId="0" xfId="0" applyFont="1" applyFill="1" applyAlignment="1">
      <alignment horizontal="right"/>
    </xf>
    <xf numFmtId="0" fontId="3" fillId="8" borderId="7" xfId="0" applyFont="1" applyFill="1" applyBorder="1"/>
    <xf numFmtId="0" fontId="0" fillId="0" borderId="0" xfId="0" applyAlignment="1">
      <alignment horizontal="center"/>
    </xf>
    <xf numFmtId="0" fontId="19" fillId="0" borderId="0" xfId="0" applyFont="1"/>
    <xf numFmtId="0" fontId="15" fillId="0" borderId="0" xfId="0" applyFont="1" applyAlignment="1">
      <alignment horizontal="center"/>
    </xf>
    <xf numFmtId="0" fontId="15" fillId="0" borderId="0" xfId="0" applyFont="1" applyAlignment="1">
      <alignment horizontal="left"/>
    </xf>
    <xf numFmtId="0" fontId="15" fillId="0" borderId="0" xfId="0" applyFont="1"/>
    <xf numFmtId="0" fontId="17" fillId="3" borderId="5" xfId="0" applyFont="1" applyFill="1" applyBorder="1"/>
    <xf numFmtId="0" fontId="18" fillId="3" borderId="4" xfId="0" applyFont="1" applyFill="1" applyBorder="1"/>
    <xf numFmtId="0" fontId="18" fillId="3" borderId="4" xfId="0" applyFont="1" applyFill="1" applyBorder="1" applyAlignment="1">
      <alignment horizontal="right"/>
    </xf>
    <xf numFmtId="0" fontId="17" fillId="0" borderId="14" xfId="0" applyFont="1" applyBorder="1"/>
    <xf numFmtId="0" fontId="17" fillId="0" borderId="4" xfId="0" applyFont="1" applyBorder="1"/>
    <xf numFmtId="0" fontId="35" fillId="0" borderId="4" xfId="0" applyFont="1" applyBorder="1" applyAlignment="1">
      <alignment horizontal="right"/>
    </xf>
    <xf numFmtId="0" fontId="36" fillId="0" borderId="14" xfId="0" applyFont="1" applyBorder="1"/>
    <xf numFmtId="0" fontId="36" fillId="0" borderId="0" xfId="0" applyFont="1"/>
    <xf numFmtId="0" fontId="36" fillId="0" borderId="0" xfId="0" applyFont="1" applyAlignment="1">
      <alignment horizontal="center"/>
    </xf>
    <xf numFmtId="0" fontId="18" fillId="0" borderId="1" xfId="0" applyFont="1" applyBorder="1"/>
    <xf numFmtId="0" fontId="18" fillId="0" borderId="0" xfId="0" applyFont="1"/>
    <xf numFmtId="0" fontId="18" fillId="0" borderId="0" xfId="0" applyFont="1" applyAlignment="1">
      <alignment horizontal="right"/>
    </xf>
    <xf numFmtId="0" fontId="17" fillId="0" borderId="10" xfId="0" applyFont="1" applyBorder="1"/>
    <xf numFmtId="0" fontId="17" fillId="0" borderId="0" xfId="0" applyFont="1"/>
    <xf numFmtId="0" fontId="18" fillId="0" borderId="11" xfId="0" applyFont="1" applyBorder="1" applyAlignment="1">
      <alignment horizontal="center"/>
    </xf>
    <xf numFmtId="0" fontId="18" fillId="0" borderId="8" xfId="0" applyFont="1" applyBorder="1"/>
    <xf numFmtId="0" fontId="18" fillId="0" borderId="7" xfId="0" applyFont="1" applyBorder="1" applyAlignment="1">
      <alignment horizontal="right"/>
    </xf>
    <xf numFmtId="0" fontId="17" fillId="0" borderId="7" xfId="0" applyFont="1" applyBorder="1"/>
    <xf numFmtId="0" fontId="18" fillId="0" borderId="4" xfId="0" applyFont="1" applyBorder="1" applyAlignment="1">
      <alignment horizontal="right"/>
    </xf>
    <xf numFmtId="0" fontId="26" fillId="0" borderId="0" xfId="0" applyFont="1" applyAlignment="1">
      <alignment horizontal="center"/>
    </xf>
    <xf numFmtId="0" fontId="35" fillId="0" borderId="0" xfId="0" applyFont="1" applyAlignment="1">
      <alignment horizontal="center"/>
    </xf>
    <xf numFmtId="0" fontId="35" fillId="0" borderId="0" xfId="0" applyFont="1"/>
    <xf numFmtId="0" fontId="17" fillId="0" borderId="0" xfId="0" applyFont="1" applyAlignment="1">
      <alignment horizontal="center"/>
    </xf>
    <xf numFmtId="0" fontId="17" fillId="0" borderId="0" xfId="0" applyFont="1" applyAlignment="1">
      <alignment horizontal="left"/>
    </xf>
    <xf numFmtId="0" fontId="18" fillId="0" borderId="14" xfId="0" applyFont="1" applyBorder="1" applyAlignment="1">
      <alignment horizontal="center"/>
    </xf>
    <xf numFmtId="0" fontId="18" fillId="0" borderId="11" xfId="0" applyFont="1" applyBorder="1"/>
    <xf numFmtId="0" fontId="17" fillId="0" borderId="9" xfId="0" applyFont="1" applyBorder="1"/>
    <xf numFmtId="49" fontId="17" fillId="4" borderId="5" xfId="0" applyNumberFormat="1" applyFont="1" applyFill="1" applyBorder="1" applyAlignment="1">
      <alignment horizontal="left"/>
    </xf>
    <xf numFmtId="0" fontId="23" fillId="0" borderId="0" xfId="0" applyFont="1" applyAlignment="1">
      <alignment horizontal="center"/>
    </xf>
    <xf numFmtId="0" fontId="23" fillId="0" borderId="0" xfId="0" applyFont="1"/>
    <xf numFmtId="0" fontId="18" fillId="4" borderId="2" xfId="0" applyFont="1" applyFill="1" applyBorder="1"/>
    <xf numFmtId="49" fontId="23" fillId="0" borderId="0" xfId="0" applyNumberFormat="1" applyFont="1"/>
    <xf numFmtId="0" fontId="23" fillId="4" borderId="0" xfId="0" applyFont="1" applyFill="1" applyAlignment="1">
      <alignment horizontal="center"/>
    </xf>
    <xf numFmtId="0" fontId="23" fillId="3" borderId="0" xfId="0" applyFont="1" applyFill="1" applyAlignment="1">
      <alignment horizontal="center"/>
    </xf>
    <xf numFmtId="0" fontId="42" fillId="2" borderId="0" xfId="0" applyFont="1" applyFill="1" applyAlignment="1">
      <alignment horizontal="center"/>
    </xf>
    <xf numFmtId="0" fontId="42" fillId="5" borderId="0" xfId="0" applyFont="1" applyFill="1" applyAlignment="1">
      <alignment horizontal="center"/>
    </xf>
    <xf numFmtId="0" fontId="42" fillId="10" borderId="0" xfId="0" applyFont="1" applyFill="1" applyAlignment="1">
      <alignment horizontal="center"/>
    </xf>
    <xf numFmtId="0" fontId="42" fillId="0" borderId="0" xfId="0" applyFont="1" applyAlignment="1">
      <alignment horizontal="center"/>
    </xf>
    <xf numFmtId="0" fontId="23" fillId="9" borderId="0" xfId="0" applyFont="1" applyFill="1" applyAlignment="1">
      <alignment horizontal="center"/>
    </xf>
    <xf numFmtId="0" fontId="23" fillId="0" borderId="12" xfId="0" applyFont="1" applyBorder="1"/>
    <xf numFmtId="0" fontId="23" fillId="9" borderId="11" xfId="0" applyFont="1" applyFill="1" applyBorder="1" applyAlignment="1">
      <alignment horizontal="center"/>
    </xf>
    <xf numFmtId="0" fontId="23" fillId="4" borderId="11" xfId="0" applyFont="1" applyFill="1" applyBorder="1" applyAlignment="1">
      <alignment horizontal="center"/>
    </xf>
    <xf numFmtId="0" fontId="23" fillId="3" borderId="11" xfId="0" applyFont="1" applyFill="1" applyBorder="1" applyAlignment="1">
      <alignment horizontal="center"/>
    </xf>
    <xf numFmtId="0" fontId="42" fillId="2" borderId="11" xfId="0" applyFont="1" applyFill="1" applyBorder="1" applyAlignment="1">
      <alignment horizontal="center"/>
    </xf>
    <xf numFmtId="0" fontId="42" fillId="5" borderId="11" xfId="0" applyFont="1" applyFill="1" applyBorder="1" applyAlignment="1">
      <alignment horizontal="center"/>
    </xf>
    <xf numFmtId="0" fontId="42" fillId="10" borderId="11" xfId="0" applyFont="1" applyFill="1" applyBorder="1" applyAlignment="1">
      <alignment horizontal="center"/>
    </xf>
    <xf numFmtId="0" fontId="42" fillId="0" borderId="11" xfId="0" applyFont="1" applyBorder="1" applyAlignment="1">
      <alignment horizontal="center"/>
    </xf>
    <xf numFmtId="0" fontId="42" fillId="0" borderId="13" xfId="0" applyFont="1" applyBorder="1" applyAlignment="1">
      <alignment horizontal="center"/>
    </xf>
    <xf numFmtId="0" fontId="42" fillId="5" borderId="13" xfId="0" applyFont="1" applyFill="1" applyBorder="1" applyAlignment="1">
      <alignment horizontal="center"/>
    </xf>
    <xf numFmtId="49" fontId="17" fillId="4" borderId="8" xfId="0" applyNumberFormat="1" applyFont="1" applyFill="1" applyBorder="1" applyAlignment="1">
      <alignment horizontal="center"/>
    </xf>
    <xf numFmtId="0" fontId="18" fillId="4" borderId="9" xfId="0" applyFont="1" applyFill="1" applyBorder="1"/>
    <xf numFmtId="0" fontId="18" fillId="4" borderId="6" xfId="0" applyFont="1" applyFill="1" applyBorder="1"/>
    <xf numFmtId="49" fontId="17" fillId="0" borderId="0" xfId="0" applyNumberFormat="1" applyFont="1" applyAlignment="1">
      <alignment horizontal="left"/>
    </xf>
    <xf numFmtId="49" fontId="18" fillId="0" borderId="0" xfId="0" applyNumberFormat="1" applyFont="1" applyAlignment="1">
      <alignment horizontal="left"/>
    </xf>
    <xf numFmtId="0" fontId="45" fillId="0" borderId="16" xfId="0" applyFont="1" applyBorder="1" applyAlignment="1">
      <alignment vertical="top"/>
    </xf>
    <xf numFmtId="0" fontId="45" fillId="0" borderId="16" xfId="0" applyFont="1" applyBorder="1" applyAlignment="1">
      <alignment horizontal="center" vertical="top"/>
    </xf>
    <xf numFmtId="0" fontId="46" fillId="6" borderId="0" xfId="0" applyFont="1" applyFill="1" applyAlignment="1">
      <alignment vertical="top"/>
    </xf>
    <xf numFmtId="0" fontId="46" fillId="6" borderId="0" xfId="0" applyFont="1" applyFill="1" applyAlignment="1">
      <alignment horizontal="center" vertical="top"/>
    </xf>
    <xf numFmtId="0" fontId="46" fillId="0" borderId="0" xfId="0" applyFont="1" applyAlignment="1">
      <alignment vertical="top"/>
    </xf>
    <xf numFmtId="0" fontId="46" fillId="0" borderId="0" xfId="0" applyFont="1" applyAlignment="1">
      <alignment horizontal="center" vertical="top"/>
    </xf>
    <xf numFmtId="0" fontId="15" fillId="0" borderId="11" xfId="0" applyFont="1" applyBorder="1" applyAlignment="1">
      <alignment horizontal="center"/>
    </xf>
    <xf numFmtId="0" fontId="23" fillId="0" borderId="11" xfId="0" applyFont="1" applyBorder="1"/>
    <xf numFmtId="0" fontId="23" fillId="0" borderId="11" xfId="0" applyFont="1" applyBorder="1" applyAlignment="1">
      <alignment horizontal="center"/>
    </xf>
    <xf numFmtId="0" fontId="18" fillId="0" borderId="0" xfId="0" applyFont="1" applyAlignment="1">
      <alignment horizontal="center"/>
    </xf>
    <xf numFmtId="0" fontId="18" fillId="0" borderId="0" xfId="0" applyFont="1" applyAlignment="1">
      <alignment horizontal="left"/>
    </xf>
    <xf numFmtId="0" fontId="47" fillId="3" borderId="0" xfId="0" applyFont="1" applyFill="1"/>
    <xf numFmtId="0" fontId="47" fillId="3" borderId="0" xfId="0" applyFont="1" applyFill="1" applyAlignment="1">
      <alignment horizontal="center"/>
    </xf>
    <xf numFmtId="0" fontId="47" fillId="3" borderId="0" xfId="0" applyFont="1" applyFill="1" applyAlignment="1">
      <alignment horizontal="left"/>
    </xf>
    <xf numFmtId="0" fontId="23" fillId="0" borderId="12" xfId="0" applyFont="1" applyBorder="1" applyAlignment="1">
      <alignment horizontal="center"/>
    </xf>
    <xf numFmtId="0" fontId="23" fillId="0" borderId="14" xfId="0" applyFont="1" applyBorder="1" applyAlignment="1">
      <alignment horizontal="center"/>
    </xf>
    <xf numFmtId="0" fontId="23" fillId="0" borderId="13" xfId="0" applyFont="1" applyBorder="1" applyAlignment="1">
      <alignment horizontal="center"/>
    </xf>
    <xf numFmtId="0" fontId="23" fillId="0" borderId="10" xfId="0" applyFont="1" applyBorder="1" applyAlignment="1">
      <alignment horizontal="center"/>
    </xf>
    <xf numFmtId="0" fontId="23" fillId="0" borderId="9" xfId="0" applyFont="1" applyBorder="1" applyAlignment="1">
      <alignment horizontal="center"/>
    </xf>
    <xf numFmtId="0" fontId="23" fillId="0" borderId="9" xfId="0" applyFont="1" applyBorder="1"/>
    <xf numFmtId="0" fontId="23" fillId="0" borderId="8" xfId="0" applyFont="1" applyBorder="1"/>
    <xf numFmtId="0" fontId="23" fillId="0" borderId="10" xfId="0" applyFont="1" applyBorder="1"/>
    <xf numFmtId="0" fontId="23" fillId="0" borderId="8" xfId="0" applyFont="1" applyBorder="1" applyAlignment="1">
      <alignment horizontal="center"/>
    </xf>
    <xf numFmtId="0" fontId="23" fillId="0" borderId="13" xfId="0" applyFont="1" applyBorder="1"/>
    <xf numFmtId="0" fontId="23" fillId="0" borderId="14" xfId="0" applyFont="1" applyBorder="1"/>
    <xf numFmtId="0" fontId="47" fillId="3" borderId="4" xfId="0" applyFont="1" applyFill="1" applyBorder="1"/>
    <xf numFmtId="0" fontId="47" fillId="3" borderId="4" xfId="0" applyFont="1" applyFill="1" applyBorder="1" applyAlignment="1">
      <alignment horizontal="center"/>
    </xf>
    <xf numFmtId="0" fontId="48" fillId="2" borderId="0" xfId="0" applyFont="1" applyFill="1"/>
    <xf numFmtId="0" fontId="15" fillId="0" borderId="0" xfId="1" applyFont="1" applyAlignment="1">
      <alignment horizontal="right"/>
    </xf>
    <xf numFmtId="0" fontId="23" fillId="0" borderId="0" xfId="1" applyFont="1"/>
    <xf numFmtId="0" fontId="23" fillId="0" borderId="0" xfId="1" applyFont="1" applyAlignment="1">
      <alignment horizontal="left"/>
    </xf>
    <xf numFmtId="0" fontId="15" fillId="0" borderId="0" xfId="1" applyFont="1" applyAlignment="1">
      <alignment horizontal="center"/>
    </xf>
    <xf numFmtId="0" fontId="23" fillId="0" borderId="14" xfId="1" applyFont="1" applyBorder="1" applyAlignment="1">
      <alignment horizontal="left"/>
    </xf>
    <xf numFmtId="0" fontId="15" fillId="0" borderId="14" xfId="1" applyFont="1" applyBorder="1" applyAlignment="1">
      <alignment horizontal="left"/>
    </xf>
    <xf numFmtId="0" fontId="41" fillId="0" borderId="14" xfId="1" applyFont="1" applyBorder="1" applyAlignment="1">
      <alignment horizontal="left"/>
    </xf>
    <xf numFmtId="0" fontId="15" fillId="4" borderId="0" xfId="1" applyFont="1" applyFill="1" applyAlignment="1">
      <alignment horizontal="right"/>
    </xf>
    <xf numFmtId="0" fontId="23" fillId="4" borderId="14" xfId="1" applyFont="1" applyFill="1" applyBorder="1" applyAlignment="1">
      <alignment horizontal="center"/>
    </xf>
    <xf numFmtId="0" fontId="15" fillId="3" borderId="0" xfId="1" applyFont="1" applyFill="1" applyAlignment="1">
      <alignment horizontal="right"/>
    </xf>
    <xf numFmtId="0" fontId="23" fillId="3" borderId="14" xfId="1" applyFont="1" applyFill="1" applyBorder="1" applyAlignment="1">
      <alignment horizontal="center"/>
    </xf>
    <xf numFmtId="0" fontId="15" fillId="2" borderId="0" xfId="1" applyFont="1" applyFill="1" applyAlignment="1">
      <alignment horizontal="right"/>
    </xf>
    <xf numFmtId="0" fontId="15" fillId="2" borderId="14" xfId="1" applyFont="1" applyFill="1" applyBorder="1" applyAlignment="1">
      <alignment horizontal="center"/>
    </xf>
    <xf numFmtId="0" fontId="23" fillId="2" borderId="14" xfId="1" applyFont="1" applyFill="1" applyBorder="1" applyAlignment="1">
      <alignment horizontal="center"/>
    </xf>
    <xf numFmtId="0" fontId="15" fillId="4" borderId="14" xfId="1" applyFont="1" applyFill="1" applyBorder="1" applyAlignment="1">
      <alignment horizontal="center"/>
    </xf>
    <xf numFmtId="0" fontId="15" fillId="3" borderId="14" xfId="1" applyFont="1" applyFill="1" applyBorder="1" applyAlignment="1">
      <alignment horizontal="center"/>
    </xf>
    <xf numFmtId="0" fontId="28" fillId="0" borderId="0" xfId="0" applyFont="1"/>
    <xf numFmtId="0" fontId="29" fillId="0" borderId="0" xfId="0" applyFont="1"/>
    <xf numFmtId="0" fontId="23" fillId="0" borderId="0" xfId="0" applyFont="1" applyAlignment="1">
      <alignment horizontal="right"/>
    </xf>
    <xf numFmtId="0" fontId="23" fillId="0" borderId="0" xfId="0" applyFont="1" applyAlignment="1">
      <alignment horizontal="left"/>
    </xf>
    <xf numFmtId="49" fontId="29" fillId="0" borderId="0" xfId="0" applyNumberFormat="1" applyFont="1" applyAlignment="1">
      <alignment horizontal="left"/>
    </xf>
    <xf numFmtId="0" fontId="29" fillId="0" borderId="0" xfId="0" applyFont="1" applyAlignment="1">
      <alignment horizontal="left"/>
    </xf>
    <xf numFmtId="0" fontId="18" fillId="0" borderId="6" xfId="0" applyFont="1" applyBorder="1"/>
    <xf numFmtId="0" fontId="18" fillId="0" borderId="2" xfId="0" applyFont="1" applyBorder="1"/>
    <xf numFmtId="49" fontId="18" fillId="0" borderId="0" xfId="0" applyNumberFormat="1" applyFont="1" applyAlignment="1">
      <alignment horizontal="center"/>
    </xf>
    <xf numFmtId="0" fontId="50" fillId="0" borderId="0" xfId="0" applyFont="1" applyAlignment="1">
      <alignment horizontal="left"/>
    </xf>
    <xf numFmtId="0" fontId="51" fillId="0" borderId="0" xfId="0" applyFont="1"/>
    <xf numFmtId="0" fontId="52" fillId="0" borderId="0" xfId="0" applyFont="1" applyAlignment="1">
      <alignment horizontal="left"/>
    </xf>
    <xf numFmtId="0" fontId="53" fillId="0" borderId="0" xfId="0" applyFont="1"/>
    <xf numFmtId="0" fontId="54" fillId="0" borderId="0" xfId="0" applyFont="1"/>
    <xf numFmtId="0" fontId="55" fillId="0" borderId="0" xfId="0" applyFont="1"/>
    <xf numFmtId="0" fontId="53" fillId="0" borderId="0" xfId="0" applyFont="1" applyAlignment="1">
      <alignment horizontal="left"/>
    </xf>
    <xf numFmtId="0" fontId="50" fillId="0" borderId="0" xfId="0" applyFont="1"/>
    <xf numFmtId="0" fontId="28" fillId="0" borderId="11" xfId="0" applyFont="1" applyBorder="1"/>
    <xf numFmtId="0" fontId="17" fillId="0" borderId="5" xfId="0" applyFont="1" applyBorder="1"/>
    <xf numFmtId="0" fontId="17" fillId="0" borderId="6" xfId="0" applyFont="1" applyBorder="1"/>
    <xf numFmtId="0" fontId="28" fillId="0" borderId="0" xfId="0" applyFont="1" applyAlignment="1">
      <alignment wrapText="1"/>
    </xf>
    <xf numFmtId="0" fontId="18" fillId="0" borderId="0" xfId="0" applyFont="1" applyAlignment="1">
      <alignment wrapText="1"/>
    </xf>
    <xf numFmtId="0" fontId="0" fillId="0" borderId="0" xfId="0" applyAlignment="1">
      <alignment wrapText="1"/>
    </xf>
    <xf numFmtId="0" fontId="28" fillId="0" borderId="0" xfId="0" applyFont="1" applyAlignment="1">
      <alignment horizontal="left" vertical="top"/>
    </xf>
    <xf numFmtId="0" fontId="0" fillId="0" borderId="0" xfId="0" applyAlignment="1">
      <alignment horizontal="left" vertical="top"/>
    </xf>
    <xf numFmtId="0" fontId="28" fillId="4" borderId="0" xfId="0" applyFont="1" applyFill="1"/>
    <xf numFmtId="0" fontId="18" fillId="4" borderId="0" xfId="0" applyFont="1" applyFill="1" applyAlignment="1">
      <alignment horizontal="center"/>
    </xf>
    <xf numFmtId="49" fontId="18" fillId="4" borderId="0" xfId="0" applyNumberFormat="1" applyFont="1" applyFill="1" applyAlignment="1">
      <alignment horizontal="center"/>
    </xf>
    <xf numFmtId="0" fontId="18" fillId="4" borderId="5" xfId="0" applyFont="1" applyFill="1" applyBorder="1"/>
    <xf numFmtId="0" fontId="18" fillId="4" borderId="1" xfId="0" applyFont="1" applyFill="1" applyBorder="1"/>
    <xf numFmtId="0" fontId="18" fillId="4" borderId="8" xfId="0" applyFont="1" applyFill="1" applyBorder="1"/>
    <xf numFmtId="0" fontId="17" fillId="0" borderId="11" xfId="0" applyFont="1" applyBorder="1" applyAlignment="1">
      <alignment horizontal="left"/>
    </xf>
    <xf numFmtId="0" fontId="38" fillId="0" borderId="11" xfId="0" applyFont="1" applyBorder="1" applyAlignment="1">
      <alignment horizontal="left"/>
    </xf>
    <xf numFmtId="0" fontId="38" fillId="0" borderId="11" xfId="0" applyFont="1" applyBorder="1"/>
    <xf numFmtId="0" fontId="18" fillId="3" borderId="14" xfId="0" applyFont="1" applyFill="1" applyBorder="1"/>
    <xf numFmtId="0" fontId="18" fillId="0" borderId="14" xfId="0" applyFont="1" applyBorder="1"/>
    <xf numFmtId="0" fontId="18" fillId="3" borderId="0" xfId="0" applyFont="1" applyFill="1" applyAlignment="1">
      <alignment horizontal="center"/>
    </xf>
    <xf numFmtId="0" fontId="18" fillId="0" borderId="21" xfId="0" applyFont="1" applyBorder="1"/>
    <xf numFmtId="0" fontId="17" fillId="0" borderId="18" xfId="0" applyFont="1" applyBorder="1"/>
    <xf numFmtId="0" fontId="18" fillId="0" borderId="19" xfId="0" applyFont="1" applyBorder="1" applyAlignment="1">
      <alignment horizontal="left"/>
    </xf>
    <xf numFmtId="0" fontId="18" fillId="0" borderId="19" xfId="0" applyFont="1" applyBorder="1"/>
    <xf numFmtId="0" fontId="17" fillId="0" borderId="19" xfId="0" applyFont="1" applyBorder="1"/>
    <xf numFmtId="0" fontId="0" fillId="0" borderId="19" xfId="0" applyBorder="1"/>
    <xf numFmtId="0" fontId="17" fillId="0" borderId="20" xfId="0" applyFont="1" applyBorder="1"/>
    <xf numFmtId="0" fontId="18" fillId="0" borderId="20" xfId="0" applyFont="1" applyBorder="1"/>
    <xf numFmtId="0" fontId="0" fillId="0" borderId="20" xfId="0" applyBorder="1"/>
    <xf numFmtId="0" fontId="15" fillId="0" borderId="20" xfId="1" applyFont="1" applyBorder="1" applyAlignment="1">
      <alignment horizontal="left" vertical="top"/>
    </xf>
    <xf numFmtId="0" fontId="17" fillId="0" borderId="22" xfId="0" applyFont="1" applyBorder="1"/>
    <xf numFmtId="0" fontId="17" fillId="0" borderId="23" xfId="0" applyFont="1" applyBorder="1"/>
    <xf numFmtId="0" fontId="17" fillId="0" borderId="20" xfId="0" applyFont="1" applyBorder="1" applyAlignment="1">
      <alignment horizontal="right"/>
    </xf>
    <xf numFmtId="0" fontId="17" fillId="0" borderId="0" xfId="0" applyFont="1" applyAlignment="1">
      <alignment horizontal="right"/>
    </xf>
    <xf numFmtId="0" fontId="0" fillId="0" borderId="0" xfId="0" applyAlignment="1">
      <alignment horizontal="right"/>
    </xf>
    <xf numFmtId="0" fontId="15" fillId="0" borderId="0" xfId="1" applyFont="1" applyAlignment="1">
      <alignment horizontal="left" vertical="top"/>
    </xf>
    <xf numFmtId="0" fontId="15" fillId="0" borderId="19" xfId="0" applyFont="1" applyBorder="1"/>
    <xf numFmtId="0" fontId="15" fillId="0" borderId="17" xfId="0" applyFont="1" applyBorder="1"/>
    <xf numFmtId="0" fontId="15" fillId="0" borderId="21" xfId="0" applyFont="1" applyBorder="1"/>
    <xf numFmtId="0" fontId="15" fillId="0" borderId="24" xfId="0" applyFont="1" applyBorder="1"/>
    <xf numFmtId="0" fontId="57" fillId="0" borderId="0" xfId="0" applyFont="1"/>
    <xf numFmtId="49" fontId="38" fillId="4" borderId="1" xfId="0" applyNumberFormat="1" applyFont="1" applyFill="1" applyBorder="1" applyAlignment="1">
      <alignment horizontal="center"/>
    </xf>
    <xf numFmtId="49" fontId="0" fillId="0" borderId="0" xfId="0" applyNumberFormat="1"/>
    <xf numFmtId="49" fontId="23" fillId="0" borderId="0" xfId="0" applyNumberFormat="1" applyFont="1" applyAlignment="1">
      <alignment vertical="center"/>
    </xf>
    <xf numFmtId="0" fontId="15" fillId="0" borderId="11" xfId="0" applyFont="1" applyBorder="1" applyAlignment="1">
      <alignment horizontal="center" vertical="top"/>
    </xf>
    <xf numFmtId="0" fontId="15" fillId="0" borderId="18" xfId="0" applyFont="1" applyBorder="1"/>
    <xf numFmtId="0" fontId="28" fillId="0" borderId="20" xfId="0" applyFont="1" applyBorder="1"/>
    <xf numFmtId="0" fontId="15" fillId="0" borderId="25" xfId="0" applyFont="1" applyBorder="1"/>
    <xf numFmtId="0" fontId="18" fillId="0" borderId="20" xfId="0" applyFont="1" applyBorder="1" applyAlignment="1">
      <alignment vertical="center"/>
    </xf>
    <xf numFmtId="0" fontId="28" fillId="0" borderId="21" xfId="0" applyFont="1" applyBorder="1"/>
    <xf numFmtId="0" fontId="23" fillId="0" borderId="20" xfId="0" applyFont="1" applyBorder="1"/>
    <xf numFmtId="0" fontId="23" fillId="0" borderId="0" xfId="0" applyFont="1" applyAlignment="1">
      <alignment horizontal="center" vertical="top"/>
    </xf>
    <xf numFmtId="0" fontId="15" fillId="0" borderId="0" xfId="0" applyFont="1" applyAlignment="1">
      <alignment horizontal="left" vertical="top" wrapText="1"/>
    </xf>
    <xf numFmtId="0" fontId="15" fillId="0" borderId="21" xfId="0" applyFont="1" applyBorder="1" applyAlignment="1">
      <alignment horizontal="left" vertical="top" wrapText="1"/>
    </xf>
    <xf numFmtId="0" fontId="15" fillId="0" borderId="23" xfId="0" applyFont="1" applyBorder="1" applyAlignment="1">
      <alignment horizontal="left" vertical="top" wrapText="1" readingOrder="1"/>
    </xf>
    <xf numFmtId="0" fontId="15" fillId="0" borderId="24" xfId="0" applyFont="1" applyBorder="1" applyAlignment="1">
      <alignment horizontal="left" vertical="top" wrapText="1" readingOrder="1"/>
    </xf>
    <xf numFmtId="0" fontId="15" fillId="0" borderId="23" xfId="0" applyFont="1" applyBorder="1"/>
    <xf numFmtId="0" fontId="23" fillId="0" borderId="22" xfId="0" applyFont="1" applyBorder="1"/>
    <xf numFmtId="0" fontId="26" fillId="0" borderId="0" xfId="0" applyFont="1" applyAlignment="1">
      <alignment horizontal="left" vertical="top" wrapText="1"/>
    </xf>
    <xf numFmtId="0" fontId="26" fillId="0" borderId="0" xfId="0" applyFont="1" applyAlignment="1">
      <alignment wrapText="1"/>
    </xf>
    <xf numFmtId="49" fontId="59" fillId="0" borderId="23" xfId="0" applyNumberFormat="1" applyFont="1" applyBorder="1" applyAlignment="1">
      <alignment vertical="center"/>
    </xf>
    <xf numFmtId="49" fontId="0" fillId="0" borderId="0" xfId="0" applyNumberFormat="1" applyAlignment="1">
      <alignment vertical="top"/>
    </xf>
    <xf numFmtId="49" fontId="45" fillId="0" borderId="16" xfId="0" applyNumberFormat="1" applyFont="1" applyBorder="1" applyAlignment="1">
      <alignment horizontal="center" vertical="center"/>
    </xf>
    <xf numFmtId="49" fontId="45" fillId="0" borderId="16" xfId="0" applyNumberFormat="1" applyFont="1" applyBorder="1" applyAlignment="1">
      <alignment vertical="center"/>
    </xf>
    <xf numFmtId="49" fontId="60" fillId="12" borderId="0" xfId="0" applyNumberFormat="1" applyFont="1" applyFill="1" applyAlignment="1">
      <alignment horizontal="center" vertical="center"/>
    </xf>
    <xf numFmtId="49" fontId="60" fillId="12" borderId="0" xfId="0" applyNumberFormat="1" applyFont="1" applyFill="1" applyAlignment="1">
      <alignment vertical="center"/>
    </xf>
    <xf numFmtId="49" fontId="60" fillId="12" borderId="0" xfId="0" applyNumberFormat="1" applyFont="1" applyFill="1" applyAlignment="1">
      <alignment horizontal="left" vertical="center"/>
    </xf>
    <xf numFmtId="49" fontId="61" fillId="0" borderId="0" xfId="0" applyNumberFormat="1" applyFont="1" applyAlignment="1">
      <alignment horizontal="center" vertical="center"/>
    </xf>
    <xf numFmtId="49" fontId="61" fillId="0" borderId="0" xfId="0" applyNumberFormat="1" applyFont="1" applyAlignment="1">
      <alignment vertical="center"/>
    </xf>
    <xf numFmtId="49" fontId="61" fillId="0" borderId="0" xfId="0" applyNumberFormat="1" applyFont="1" applyAlignment="1">
      <alignment horizontal="left" vertical="center"/>
    </xf>
    <xf numFmtId="49" fontId="49" fillId="12" borderId="0" xfId="0" applyNumberFormat="1" applyFont="1" applyFill="1" applyAlignment="1">
      <alignment horizontal="center" vertical="center"/>
    </xf>
    <xf numFmtId="49" fontId="49" fillId="12" borderId="0" xfId="0" applyNumberFormat="1" applyFont="1" applyFill="1" applyAlignment="1">
      <alignment horizontal="left" vertical="center"/>
    </xf>
    <xf numFmtId="49" fontId="49" fillId="0" borderId="0" xfId="0" applyNumberFormat="1" applyFont="1" applyAlignment="1">
      <alignment horizontal="center" vertical="center"/>
    </xf>
    <xf numFmtId="49" fontId="49" fillId="0" borderId="0" xfId="0" applyNumberFormat="1" applyFont="1" applyAlignment="1">
      <alignment horizontal="left" vertical="center"/>
    </xf>
    <xf numFmtId="49" fontId="62" fillId="0" borderId="0" xfId="0" applyNumberFormat="1" applyFont="1"/>
    <xf numFmtId="49" fontId="62" fillId="0" borderId="0" xfId="0" applyNumberFormat="1" applyFont="1" applyAlignment="1">
      <alignment horizontal="center"/>
    </xf>
    <xf numFmtId="0" fontId="62" fillId="0" borderId="0" xfId="0" applyFont="1"/>
    <xf numFmtId="49" fontId="59" fillId="0" borderId="0" xfId="0" applyNumberFormat="1" applyFont="1" applyAlignment="1">
      <alignment vertical="center"/>
    </xf>
    <xf numFmtId="49" fontId="45" fillId="0" borderId="11" xfId="0" applyNumberFormat="1" applyFont="1" applyBorder="1" applyAlignment="1">
      <alignment horizontal="center" vertical="center"/>
    </xf>
    <xf numFmtId="49" fontId="45" fillId="0" borderId="11" xfId="0" applyNumberFormat="1" applyFont="1" applyBorder="1" applyAlignment="1">
      <alignment vertical="center"/>
    </xf>
    <xf numFmtId="0" fontId="61" fillId="0" borderId="0" xfId="0" applyFont="1"/>
    <xf numFmtId="0" fontId="63" fillId="0" borderId="0" xfId="0" applyFont="1"/>
    <xf numFmtId="49" fontId="17" fillId="0" borderId="11" xfId="0" applyNumberFormat="1" applyFont="1" applyBorder="1" applyAlignment="1">
      <alignment horizontal="left" vertical="center"/>
    </xf>
    <xf numFmtId="0" fontId="64" fillId="0" borderId="12" xfId="0" applyFont="1" applyBorder="1" applyAlignment="1">
      <alignment horizontal="center" vertical="center"/>
    </xf>
    <xf numFmtId="0" fontId="64" fillId="0" borderId="11" xfId="0" applyFont="1" applyBorder="1" applyAlignment="1">
      <alignment horizontal="center" vertical="center"/>
    </xf>
    <xf numFmtId="49" fontId="60" fillId="12" borderId="0" xfId="0" applyNumberFormat="1" applyFont="1" applyFill="1" applyAlignment="1">
      <alignment horizontal="center" vertical="top"/>
    </xf>
    <xf numFmtId="49" fontId="60" fillId="12" borderId="0" xfId="0" applyNumberFormat="1" applyFont="1" applyFill="1" applyAlignment="1">
      <alignment vertical="top"/>
    </xf>
    <xf numFmtId="49" fontId="60" fillId="12" borderId="0" xfId="0" applyNumberFormat="1" applyFont="1" applyFill="1" applyAlignment="1">
      <alignment horizontal="left" vertical="top"/>
    </xf>
    <xf numFmtId="0" fontId="60" fillId="12" borderId="0" xfId="0" applyFont="1" applyFill="1" applyAlignment="1">
      <alignment horizontal="center" vertical="center"/>
    </xf>
    <xf numFmtId="49" fontId="61" fillId="0" borderId="0" xfId="0" applyNumberFormat="1" applyFont="1" applyAlignment="1">
      <alignment horizontal="center" vertical="top"/>
    </xf>
    <xf numFmtId="49" fontId="61" fillId="0" borderId="0" xfId="0" applyNumberFormat="1" applyFont="1" applyAlignment="1">
      <alignment vertical="top"/>
    </xf>
    <xf numFmtId="0" fontId="61" fillId="0" borderId="0" xfId="0" applyFont="1" applyAlignment="1">
      <alignment horizontal="center" vertical="center"/>
    </xf>
    <xf numFmtId="3" fontId="60" fillId="12" borderId="0" xfId="0" applyNumberFormat="1" applyFont="1" applyFill="1" applyAlignment="1">
      <alignment horizontal="center" vertical="center"/>
    </xf>
    <xf numFmtId="3" fontId="61" fillId="0" borderId="0" xfId="0" applyNumberFormat="1" applyFont="1" applyAlignment="1">
      <alignment horizontal="center" vertical="center"/>
    </xf>
    <xf numFmtId="0" fontId="28" fillId="0" borderId="6" xfId="0" applyFont="1" applyBorder="1"/>
    <xf numFmtId="0" fontId="28" fillId="0" borderId="2" xfId="0" applyFont="1" applyBorder="1"/>
    <xf numFmtId="0" fontId="28" fillId="0" borderId="9" xfId="0" applyFont="1" applyBorder="1"/>
    <xf numFmtId="0" fontId="18" fillId="13" borderId="7" xfId="0" applyFont="1" applyFill="1" applyBorder="1"/>
    <xf numFmtId="0" fontId="4" fillId="13" borderId="7" xfId="0" applyFont="1" applyFill="1" applyBorder="1"/>
    <xf numFmtId="0" fontId="3" fillId="13" borderId="11" xfId="0" applyFont="1" applyFill="1" applyBorder="1"/>
    <xf numFmtId="0" fontId="2" fillId="13" borderId="8" xfId="0" applyFont="1" applyFill="1" applyBorder="1"/>
    <xf numFmtId="0" fontId="2" fillId="13" borderId="7" xfId="0" applyFont="1" applyFill="1" applyBorder="1"/>
    <xf numFmtId="0" fontId="6" fillId="13" borderId="7" xfId="0" applyFont="1" applyFill="1" applyBorder="1" applyAlignment="1">
      <alignment horizontal="center"/>
    </xf>
    <xf numFmtId="0" fontId="2" fillId="13" borderId="9" xfId="0" applyFont="1" applyFill="1" applyBorder="1"/>
    <xf numFmtId="0" fontId="8" fillId="13" borderId="7" xfId="0" applyFont="1" applyFill="1" applyBorder="1"/>
    <xf numFmtId="0" fontId="19" fillId="13" borderId="0" xfId="0" applyFont="1" applyFill="1"/>
    <xf numFmtId="0" fontId="0" fillId="13" borderId="0" xfId="0" applyFill="1"/>
    <xf numFmtId="0" fontId="66" fillId="13" borderId="0" xfId="0" applyFont="1" applyFill="1" applyAlignment="1">
      <alignment horizontal="left"/>
    </xf>
    <xf numFmtId="0" fontId="69" fillId="0" borderId="0" xfId="0" applyFont="1"/>
    <xf numFmtId="0" fontId="72" fillId="0" borderId="0" xfId="0" applyFont="1"/>
    <xf numFmtId="0" fontId="17" fillId="14" borderId="5" xfId="0" applyFont="1" applyFill="1" applyBorder="1"/>
    <xf numFmtId="0" fontId="17" fillId="14" borderId="4" xfId="0" applyFont="1" applyFill="1" applyBorder="1"/>
    <xf numFmtId="0" fontId="18" fillId="14" borderId="4" xfId="0" applyFont="1" applyFill="1" applyBorder="1" applyAlignment="1">
      <alignment horizontal="right"/>
    </xf>
    <xf numFmtId="0" fontId="38" fillId="13" borderId="7" xfId="0" applyFont="1" applyFill="1" applyBorder="1"/>
    <xf numFmtId="0" fontId="38" fillId="13" borderId="9" xfId="0" applyFont="1" applyFill="1" applyBorder="1"/>
    <xf numFmtId="0" fontId="18" fillId="13" borderId="8" xfId="0" applyFont="1" applyFill="1" applyBorder="1"/>
    <xf numFmtId="0" fontId="17" fillId="13" borderId="7" xfId="0" applyFont="1" applyFill="1" applyBorder="1"/>
    <xf numFmtId="0" fontId="17" fillId="13" borderId="9" xfId="0" applyFont="1" applyFill="1" applyBorder="1"/>
    <xf numFmtId="0" fontId="18" fillId="13" borderId="9" xfId="0" applyFont="1" applyFill="1" applyBorder="1"/>
    <xf numFmtId="0" fontId="39" fillId="13" borderId="7" xfId="0" applyFont="1" applyFill="1" applyBorder="1"/>
    <xf numFmtId="0" fontId="40" fillId="13" borderId="7" xfId="0" applyFont="1" applyFill="1" applyBorder="1"/>
    <xf numFmtId="0" fontId="40" fillId="13" borderId="9" xfId="0" applyFont="1" applyFill="1" applyBorder="1"/>
    <xf numFmtId="0" fontId="39" fillId="13" borderId="11" xfId="0" applyFont="1" applyFill="1" applyBorder="1"/>
    <xf numFmtId="0" fontId="40" fillId="13" borderId="11" xfId="0" applyFont="1" applyFill="1" applyBorder="1"/>
    <xf numFmtId="0" fontId="18" fillId="5" borderId="0" xfId="0" applyFont="1" applyFill="1" applyAlignment="1">
      <alignment horizontal="center"/>
    </xf>
    <xf numFmtId="0" fontId="18" fillId="0" borderId="12" xfId="0" applyFont="1" applyBorder="1" applyAlignment="1">
      <alignment horizontal="center"/>
    </xf>
    <xf numFmtId="0" fontId="18" fillId="0" borderId="10" xfId="0" applyFont="1" applyBorder="1"/>
    <xf numFmtId="0" fontId="18" fillId="0" borderId="8" xfId="0" applyFont="1" applyBorder="1" applyAlignment="1">
      <alignment horizontal="center"/>
    </xf>
    <xf numFmtId="0" fontId="18" fillId="0" borderId="28" xfId="0" applyFont="1" applyBorder="1"/>
    <xf numFmtId="0" fontId="18" fillId="13" borderId="35" xfId="0" applyFont="1" applyFill="1" applyBorder="1"/>
    <xf numFmtId="0" fontId="18" fillId="13" borderId="36" xfId="0" applyFont="1" applyFill="1" applyBorder="1"/>
    <xf numFmtId="0" fontId="17" fillId="13" borderId="36" xfId="0" applyFont="1" applyFill="1" applyBorder="1"/>
    <xf numFmtId="0" fontId="17" fillId="13" borderId="37" xfId="0" applyFont="1" applyFill="1" applyBorder="1"/>
    <xf numFmtId="0" fontId="18" fillId="17" borderId="14" xfId="0" applyFont="1" applyFill="1" applyBorder="1"/>
    <xf numFmtId="0" fontId="18" fillId="17" borderId="12" xfId="0" applyFont="1" applyFill="1" applyBorder="1" applyAlignment="1">
      <alignment horizontal="center"/>
    </xf>
    <xf numFmtId="0" fontId="36" fillId="17" borderId="12" xfId="0" applyFont="1" applyFill="1" applyBorder="1"/>
    <xf numFmtId="0" fontId="36" fillId="17" borderId="11" xfId="0" applyFont="1" applyFill="1" applyBorder="1"/>
    <xf numFmtId="0" fontId="36" fillId="17" borderId="13" xfId="0" applyFont="1" applyFill="1" applyBorder="1"/>
    <xf numFmtId="0" fontId="35" fillId="0" borderId="12" xfId="0" applyFont="1" applyBorder="1" applyAlignment="1">
      <alignment horizontal="right"/>
    </xf>
    <xf numFmtId="0" fontId="17" fillId="0" borderId="12" xfId="0" applyFont="1" applyBorder="1"/>
    <xf numFmtId="0" fontId="3" fillId="13" borderId="12" xfId="0" applyFont="1" applyFill="1" applyBorder="1"/>
    <xf numFmtId="0" fontId="3" fillId="13" borderId="8" xfId="0" applyFont="1" applyFill="1" applyBorder="1"/>
    <xf numFmtId="0" fontId="3" fillId="13" borderId="7" xfId="0" applyFont="1" applyFill="1" applyBorder="1"/>
    <xf numFmtId="0" fontId="4" fillId="13" borderId="12" xfId="0" applyFont="1" applyFill="1" applyBorder="1"/>
    <xf numFmtId="0" fontId="4" fillId="13" borderId="11" xfId="0" applyFont="1" applyFill="1" applyBorder="1" applyAlignment="1">
      <alignment horizontal="center"/>
    </xf>
    <xf numFmtId="0" fontId="3" fillId="13" borderId="13" xfId="0" applyFont="1" applyFill="1" applyBorder="1"/>
    <xf numFmtId="0" fontId="3" fillId="13" borderId="9" xfId="0" applyFont="1" applyFill="1" applyBorder="1"/>
    <xf numFmtId="0" fontId="17" fillId="13" borderId="8" xfId="0" applyFont="1" applyFill="1" applyBorder="1"/>
    <xf numFmtId="0" fontId="4" fillId="13" borderId="7" xfId="0" applyFont="1" applyFill="1" applyBorder="1" applyAlignment="1">
      <alignment horizontal="center"/>
    </xf>
    <xf numFmtId="0" fontId="4" fillId="13" borderId="9" xfId="0" applyFont="1" applyFill="1" applyBorder="1"/>
    <xf numFmtId="0" fontId="4" fillId="13" borderId="8" xfId="0" applyFont="1" applyFill="1" applyBorder="1"/>
    <xf numFmtId="0" fontId="7" fillId="13" borderId="7" xfId="0" applyFont="1" applyFill="1" applyBorder="1"/>
    <xf numFmtId="0" fontId="17" fillId="18" borderId="43" xfId="0" applyFont="1" applyFill="1" applyBorder="1"/>
    <xf numFmtId="0" fontId="17" fillId="18" borderId="44" xfId="0" applyFont="1" applyFill="1" applyBorder="1"/>
    <xf numFmtId="0" fontId="17" fillId="18" borderId="45" xfId="0" applyFont="1" applyFill="1" applyBorder="1"/>
    <xf numFmtId="0" fontId="18" fillId="18" borderId="38" xfId="0" applyFont="1" applyFill="1" applyBorder="1" applyAlignment="1">
      <alignment horizontal="right"/>
    </xf>
    <xf numFmtId="0" fontId="18" fillId="18" borderId="0" xfId="0" applyFont="1" applyFill="1"/>
    <xf numFmtId="0" fontId="18" fillId="18" borderId="39" xfId="0" applyFont="1" applyFill="1" applyBorder="1"/>
    <xf numFmtId="0" fontId="18" fillId="18" borderId="41" xfId="0" applyFont="1" applyFill="1" applyBorder="1"/>
    <xf numFmtId="0" fontId="18" fillId="18" borderId="42" xfId="0" applyFont="1" applyFill="1" applyBorder="1"/>
    <xf numFmtId="0" fontId="37" fillId="18" borderId="40" xfId="0" applyFont="1" applyFill="1" applyBorder="1" applyAlignment="1">
      <alignment horizontal="left"/>
    </xf>
    <xf numFmtId="0" fontId="71" fillId="15" borderId="47" xfId="0" applyFont="1" applyFill="1" applyBorder="1" applyAlignment="1">
      <alignment horizontal="center"/>
    </xf>
    <xf numFmtId="0" fontId="73" fillId="15" borderId="47" xfId="0" applyFont="1" applyFill="1" applyBorder="1" applyAlignment="1">
      <alignment horizontal="center"/>
    </xf>
    <xf numFmtId="0" fontId="17" fillId="0" borderId="26" xfId="0" applyFont="1" applyBorder="1"/>
    <xf numFmtId="0" fontId="17" fillId="0" borderId="16" xfId="0" applyFont="1" applyBorder="1" applyAlignment="1">
      <alignment horizontal="center"/>
    </xf>
    <xf numFmtId="0" fontId="17" fillId="9" borderId="16" xfId="0" applyFont="1" applyFill="1" applyBorder="1" applyAlignment="1">
      <alignment horizontal="center"/>
    </xf>
    <xf numFmtId="0" fontId="17" fillId="4" borderId="16" xfId="0" applyFont="1" applyFill="1" applyBorder="1" applyAlignment="1">
      <alignment horizontal="center"/>
    </xf>
    <xf numFmtId="0" fontId="17" fillId="3" borderId="16" xfId="0" applyFont="1" applyFill="1" applyBorder="1" applyAlignment="1">
      <alignment horizontal="center"/>
    </xf>
    <xf numFmtId="0" fontId="17" fillId="2" borderId="16" xfId="0" applyFont="1" applyFill="1" applyBorder="1" applyAlignment="1">
      <alignment horizontal="center"/>
    </xf>
    <xf numFmtId="0" fontId="17" fillId="5" borderId="16" xfId="0" applyFont="1" applyFill="1" applyBorder="1" applyAlignment="1">
      <alignment horizontal="center"/>
    </xf>
    <xf numFmtId="0" fontId="17" fillId="10" borderId="27" xfId="0" applyFont="1" applyFill="1" applyBorder="1" applyAlignment="1">
      <alignment horizontal="center"/>
    </xf>
    <xf numFmtId="0" fontId="18" fillId="9" borderId="0" xfId="0" applyFont="1" applyFill="1" applyAlignment="1">
      <alignment horizontal="center"/>
    </xf>
    <xf numFmtId="0" fontId="18" fillId="2" borderId="0" xfId="0" applyFont="1" applyFill="1" applyAlignment="1">
      <alignment horizontal="center"/>
    </xf>
    <xf numFmtId="0" fontId="18" fillId="10" borderId="2" xfId="0" applyFont="1" applyFill="1" applyBorder="1" applyAlignment="1">
      <alignment horizontal="center"/>
    </xf>
    <xf numFmtId="0" fontId="18" fillId="0" borderId="3" xfId="0" applyFont="1" applyBorder="1"/>
    <xf numFmtId="0" fontId="71" fillId="15" borderId="48" xfId="0" applyFont="1" applyFill="1" applyBorder="1" applyAlignment="1">
      <alignment horizontal="center"/>
    </xf>
    <xf numFmtId="0" fontId="68" fillId="16" borderId="30" xfId="0" applyFont="1" applyFill="1" applyBorder="1" applyAlignment="1">
      <alignment horizontal="center"/>
    </xf>
    <xf numFmtId="0" fontId="68" fillId="16" borderId="32" xfId="0" applyFont="1" applyFill="1" applyBorder="1" applyAlignment="1">
      <alignment horizontal="center"/>
    </xf>
    <xf numFmtId="0" fontId="68" fillId="16" borderId="34" xfId="0" applyFont="1" applyFill="1" applyBorder="1" applyAlignment="1">
      <alignment horizontal="center"/>
    </xf>
    <xf numFmtId="0" fontId="71" fillId="16" borderId="30" xfId="0" applyFont="1" applyFill="1" applyBorder="1" applyAlignment="1">
      <alignment horizontal="center"/>
    </xf>
    <xf numFmtId="0" fontId="71" fillId="16" borderId="32" xfId="0" applyFont="1" applyFill="1" applyBorder="1" applyAlignment="1">
      <alignment horizontal="center"/>
    </xf>
    <xf numFmtId="0" fontId="71" fillId="16" borderId="34" xfId="0" applyFont="1" applyFill="1" applyBorder="1" applyAlignment="1">
      <alignment horizontal="center"/>
    </xf>
    <xf numFmtId="0" fontId="36" fillId="16" borderId="30" xfId="0" applyFont="1" applyFill="1" applyBorder="1" applyAlignment="1">
      <alignment horizontal="center"/>
    </xf>
    <xf numFmtId="0" fontId="36" fillId="16" borderId="32" xfId="0" applyFont="1" applyFill="1" applyBorder="1" applyAlignment="1">
      <alignment horizontal="center"/>
    </xf>
    <xf numFmtId="0" fontId="36" fillId="16" borderId="34" xfId="0" applyFont="1" applyFill="1" applyBorder="1" applyAlignment="1">
      <alignment horizontal="center"/>
    </xf>
    <xf numFmtId="49" fontId="45" fillId="0" borderId="0" xfId="0" applyNumberFormat="1" applyFont="1" applyAlignment="1">
      <alignment horizontal="center" vertical="center"/>
    </xf>
    <xf numFmtId="49" fontId="60" fillId="0" borderId="0" xfId="0" applyNumberFormat="1" applyFont="1" applyAlignment="1">
      <alignment horizontal="left" vertical="center"/>
    </xf>
    <xf numFmtId="0" fontId="18" fillId="8" borderId="7" xfId="0" applyFont="1" applyFill="1" applyBorder="1"/>
    <xf numFmtId="0" fontId="25" fillId="8" borderId="7" xfId="0" applyFont="1" applyFill="1" applyBorder="1"/>
    <xf numFmtId="0" fontId="17" fillId="8" borderId="0" xfId="0" applyFont="1" applyFill="1" applyAlignment="1">
      <alignment horizontal="right" vertical="center"/>
    </xf>
    <xf numFmtId="0" fontId="17" fillId="0" borderId="0" xfId="0" applyFont="1" applyAlignment="1">
      <alignment horizontal="left" vertical="top"/>
    </xf>
    <xf numFmtId="0" fontId="18" fillId="0" borderId="0" xfId="0" applyFont="1" applyAlignment="1">
      <alignment horizontal="left" vertical="top"/>
    </xf>
    <xf numFmtId="0" fontId="47" fillId="0" borderId="0" xfId="0" applyFont="1"/>
    <xf numFmtId="0" fontId="75" fillId="0" borderId="0" xfId="0" applyFont="1" applyAlignment="1">
      <alignment horizontal="left"/>
    </xf>
    <xf numFmtId="0" fontId="75" fillId="0" borderId="0" xfId="0" applyFont="1"/>
    <xf numFmtId="0" fontId="49" fillId="0" borderId="0" xfId="0" applyFont="1"/>
    <xf numFmtId="0" fontId="47" fillId="0" borderId="11" xfId="2" applyFont="1" applyBorder="1" applyAlignment="1" applyProtection="1">
      <alignment horizontal="center" vertical="top"/>
      <protection locked="0"/>
    </xf>
    <xf numFmtId="0" fontId="47" fillId="0" borderId="11" xfId="2" applyFont="1" applyBorder="1" applyAlignment="1" applyProtection="1">
      <alignment horizontal="left" vertical="top"/>
      <protection locked="0"/>
    </xf>
    <xf numFmtId="0" fontId="60" fillId="4" borderId="1" xfId="2" applyFont="1" applyFill="1" applyBorder="1" applyAlignment="1" applyProtection="1">
      <alignment vertical="top"/>
      <protection locked="0"/>
    </xf>
    <xf numFmtId="0" fontId="49" fillId="0" borderId="1" xfId="2" applyFont="1" applyBorder="1" applyAlignment="1" applyProtection="1">
      <alignment vertical="top"/>
      <protection locked="0"/>
    </xf>
    <xf numFmtId="0" fontId="60" fillId="0" borderId="1" xfId="2" applyFont="1" applyBorder="1" applyAlignment="1" applyProtection="1">
      <alignment vertical="top"/>
      <protection locked="0"/>
    </xf>
    <xf numFmtId="0" fontId="49" fillId="4" borderId="1" xfId="2" applyFont="1" applyFill="1" applyBorder="1" applyAlignment="1" applyProtection="1">
      <alignment vertical="top"/>
      <protection locked="0"/>
    </xf>
    <xf numFmtId="0" fontId="49" fillId="4" borderId="1" xfId="0" applyFont="1" applyFill="1" applyBorder="1" applyAlignment="1">
      <alignment horizontal="left" vertical="top"/>
    </xf>
    <xf numFmtId="0" fontId="6" fillId="0" borderId="0" xfId="0" applyFont="1" applyAlignment="1">
      <alignment horizontal="center"/>
    </xf>
    <xf numFmtId="0" fontId="6" fillId="0" borderId="0" xfId="0" applyFont="1"/>
    <xf numFmtId="0" fontId="49" fillId="2" borderId="1" xfId="2" applyFont="1" applyFill="1" applyBorder="1" applyAlignment="1" applyProtection="1">
      <alignment vertical="top"/>
      <protection locked="0"/>
    </xf>
    <xf numFmtId="0" fontId="49" fillId="4" borderId="4" xfId="2" applyFont="1" applyFill="1" applyBorder="1" applyAlignment="1" applyProtection="1">
      <alignment horizontal="center" vertical="center"/>
      <protection locked="0"/>
    </xf>
    <xf numFmtId="0" fontId="49" fillId="4" borderId="5" xfId="2" applyFont="1" applyFill="1" applyBorder="1" applyAlignment="1" applyProtection="1">
      <alignment vertical="center"/>
      <protection locked="0"/>
    </xf>
    <xf numFmtId="0" fontId="49" fillId="4" borderId="3" xfId="2" applyFont="1" applyFill="1" applyBorder="1" applyAlignment="1" applyProtection="1">
      <alignment horizontal="center" vertical="center"/>
      <protection locked="0"/>
    </xf>
    <xf numFmtId="0" fontId="60" fillId="4" borderId="0" xfId="2" applyFont="1" applyFill="1" applyAlignment="1" applyProtection="1">
      <alignment horizontal="center" vertical="center"/>
      <protection locked="0"/>
    </xf>
    <xf numFmtId="0" fontId="60" fillId="4" borderId="1" xfId="2" applyFont="1" applyFill="1" applyBorder="1" applyAlignment="1" applyProtection="1">
      <alignment vertical="center"/>
      <protection locked="0"/>
    </xf>
    <xf numFmtId="0" fontId="60" fillId="4" borderId="3" xfId="2" applyFont="1" applyFill="1" applyBorder="1" applyAlignment="1" applyProtection="1">
      <alignment horizontal="center" vertical="center"/>
      <protection locked="0"/>
    </xf>
    <xf numFmtId="2" fontId="49" fillId="0" borderId="0" xfId="2" applyNumberFormat="1" applyFont="1" applyAlignment="1" applyProtection="1">
      <alignment horizontal="center" vertical="center"/>
      <protection locked="0"/>
    </xf>
    <xf numFmtId="0" fontId="49" fillId="0" borderId="0" xfId="2" applyFont="1" applyAlignment="1" applyProtection="1">
      <alignment horizontal="center" vertical="center"/>
      <protection locked="0"/>
    </xf>
    <xf numFmtId="0" fontId="49" fillId="0" borderId="1" xfId="2" applyFont="1" applyBorder="1" applyAlignment="1" applyProtection="1">
      <alignment vertical="center"/>
      <protection locked="0"/>
    </xf>
    <xf numFmtId="0" fontId="49" fillId="0" borderId="0" xfId="0" applyFont="1" applyAlignment="1">
      <alignment vertical="center"/>
    </xf>
    <xf numFmtId="0" fontId="60" fillId="0" borderId="0" xfId="2" applyFont="1" applyAlignment="1" applyProtection="1">
      <alignment horizontal="center" vertical="center"/>
      <protection locked="0"/>
    </xf>
    <xf numFmtId="0" fontId="60" fillId="0" borderId="1" xfId="2" applyFont="1" applyBorder="1" applyAlignment="1" applyProtection="1">
      <alignment vertical="center"/>
      <protection locked="0"/>
    </xf>
    <xf numFmtId="2" fontId="49" fillId="4" borderId="0" xfId="2" applyNumberFormat="1" applyFont="1" applyFill="1" applyAlignment="1" applyProtection="1">
      <alignment horizontal="center" vertical="center"/>
      <protection locked="0"/>
    </xf>
    <xf numFmtId="0" fontId="49" fillId="4" borderId="0" xfId="2" applyFont="1" applyFill="1" applyAlignment="1" applyProtection="1">
      <alignment horizontal="center" vertical="center"/>
      <protection locked="0"/>
    </xf>
    <xf numFmtId="0" fontId="49" fillId="4" borderId="1" xfId="2" applyFont="1" applyFill="1" applyBorder="1" applyAlignment="1" applyProtection="1">
      <alignment vertical="center"/>
      <protection locked="0"/>
    </xf>
    <xf numFmtId="0" fontId="49" fillId="4" borderId="0" xfId="0" applyFont="1" applyFill="1" applyAlignment="1">
      <alignment horizontal="center" vertical="center"/>
    </xf>
    <xf numFmtId="0" fontId="49" fillId="4" borderId="1" xfId="0" applyFont="1" applyFill="1" applyBorder="1" applyAlignment="1">
      <alignment horizontal="left" vertical="center"/>
    </xf>
    <xf numFmtId="0" fontId="79" fillId="0" borderId="0" xfId="0" applyFont="1" applyAlignment="1">
      <alignment vertical="center"/>
    </xf>
    <xf numFmtId="0" fontId="47" fillId="0" borderId="11" xfId="0" applyFont="1" applyBorder="1" applyAlignment="1">
      <alignment horizontal="right" vertical="center"/>
    </xf>
    <xf numFmtId="0" fontId="49" fillId="4" borderId="1" xfId="2" applyFont="1" applyFill="1" applyBorder="1" applyAlignment="1" applyProtection="1">
      <alignment horizontal="center" vertical="center"/>
      <protection locked="0"/>
    </xf>
    <xf numFmtId="0" fontId="79" fillId="2" borderId="7" xfId="0" applyFont="1" applyFill="1" applyBorder="1" applyAlignment="1">
      <alignment horizontal="center" vertical="center"/>
    </xf>
    <xf numFmtId="0" fontId="49" fillId="2" borderId="7" xfId="0" applyFont="1" applyFill="1" applyBorder="1" applyAlignment="1">
      <alignment horizontal="center" vertical="center"/>
    </xf>
    <xf numFmtId="0" fontId="49" fillId="2" borderId="10" xfId="2" applyFont="1" applyFill="1" applyBorder="1" applyAlignment="1" applyProtection="1">
      <alignment vertical="center"/>
      <protection locked="0"/>
    </xf>
    <xf numFmtId="0" fontId="75" fillId="4" borderId="0" xfId="2" applyFont="1" applyFill="1" applyAlignment="1" applyProtection="1">
      <alignment horizontal="center" vertical="center"/>
      <protection locked="0"/>
    </xf>
    <xf numFmtId="0" fontId="75" fillId="4" borderId="1" xfId="2" applyFont="1" applyFill="1" applyBorder="1" applyAlignment="1" applyProtection="1">
      <alignment vertical="center"/>
      <protection locked="0"/>
    </xf>
    <xf numFmtId="0" fontId="81" fillId="0" borderId="0" xfId="2" applyFont="1" applyAlignment="1" applyProtection="1">
      <alignment horizontal="center" vertical="center"/>
      <protection locked="0"/>
    </xf>
    <xf numFmtId="0" fontId="81" fillId="0" borderId="1" xfId="2" applyFont="1" applyBorder="1" applyAlignment="1" applyProtection="1">
      <alignment vertical="center"/>
      <protection locked="0"/>
    </xf>
    <xf numFmtId="0" fontId="81" fillId="4" borderId="0" xfId="2" applyFont="1" applyFill="1" applyAlignment="1" applyProtection="1">
      <alignment horizontal="center" vertical="center"/>
      <protection locked="0"/>
    </xf>
    <xf numFmtId="0" fontId="81" fillId="4" borderId="1" xfId="2" applyFont="1" applyFill="1" applyBorder="1" applyAlignment="1" applyProtection="1">
      <alignment vertical="center"/>
      <protection locked="0"/>
    </xf>
    <xf numFmtId="0" fontId="75" fillId="0" borderId="0" xfId="2" applyFont="1" applyAlignment="1" applyProtection="1">
      <alignment horizontal="center" vertical="center"/>
      <protection locked="0"/>
    </xf>
    <xf numFmtId="0" fontId="75" fillId="0" borderId="1" xfId="2" applyFont="1" applyBorder="1" applyAlignment="1" applyProtection="1">
      <alignment vertical="center"/>
      <protection locked="0"/>
    </xf>
    <xf numFmtId="2" fontId="81" fillId="0" borderId="0" xfId="2" applyNumberFormat="1" applyFont="1" applyAlignment="1" applyProtection="1">
      <alignment horizontal="center" vertical="center"/>
      <protection locked="0"/>
    </xf>
    <xf numFmtId="0" fontId="47" fillId="0" borderId="0" xfId="2" applyFont="1"/>
    <xf numFmtId="0" fontId="47" fillId="0" borderId="11" xfId="0" applyFont="1" applyBorder="1" applyAlignment="1">
      <alignment vertical="top"/>
    </xf>
    <xf numFmtId="0" fontId="49" fillId="2" borderId="1" xfId="0" applyFont="1" applyFill="1" applyBorder="1" applyAlignment="1">
      <alignment horizontal="left" vertical="top"/>
    </xf>
    <xf numFmtId="0" fontId="49" fillId="0" borderId="1" xfId="0" applyFont="1" applyBorder="1" applyAlignment="1">
      <alignment horizontal="left" vertical="top"/>
    </xf>
    <xf numFmtId="0" fontId="49" fillId="0" borderId="8" xfId="0" applyFont="1" applyBorder="1" applyAlignment="1">
      <alignment horizontal="left" vertical="top"/>
    </xf>
    <xf numFmtId="0" fontId="49" fillId="0" borderId="7" xfId="0" applyFont="1" applyBorder="1" applyAlignment="1">
      <alignment horizontal="center" vertical="top"/>
    </xf>
    <xf numFmtId="0" fontId="0" fillId="0" borderId="6" xfId="0" applyBorder="1"/>
    <xf numFmtId="0" fontId="0" fillId="0" borderId="2" xfId="0" applyBorder="1"/>
    <xf numFmtId="0" fontId="0" fillId="0" borderId="7" xfId="0" applyBorder="1"/>
    <xf numFmtId="0" fontId="0" fillId="0" borderId="9" xfId="0" applyBorder="1"/>
    <xf numFmtId="0" fontId="27" fillId="0" borderId="0" xfId="0" applyFont="1"/>
    <xf numFmtId="0" fontId="3" fillId="0" borderId="0" xfId="0" applyFont="1"/>
    <xf numFmtId="0" fontId="4" fillId="0" borderId="0" xfId="0" applyFont="1"/>
    <xf numFmtId="0" fontId="0" fillId="0" borderId="4" xfId="0" applyBorder="1"/>
    <xf numFmtId="0" fontId="30" fillId="0" borderId="2" xfId="0" applyFont="1" applyBorder="1"/>
    <xf numFmtId="0" fontId="26" fillId="0" borderId="2" xfId="0" applyFont="1" applyBorder="1"/>
    <xf numFmtId="0" fontId="31" fillId="0" borderId="2" xfId="0" applyFont="1" applyBorder="1"/>
    <xf numFmtId="0" fontId="19" fillId="20" borderId="5" xfId="0" applyFont="1" applyFill="1" applyBorder="1"/>
    <xf numFmtId="0" fontId="20" fillId="20" borderId="4" xfId="0" applyFont="1" applyFill="1" applyBorder="1"/>
    <xf numFmtId="0" fontId="19" fillId="20" borderId="4" xfId="0" applyFont="1" applyFill="1" applyBorder="1"/>
    <xf numFmtId="0" fontId="15" fillId="20" borderId="4" xfId="0" applyFont="1" applyFill="1" applyBorder="1"/>
    <xf numFmtId="0" fontId="19" fillId="20" borderId="6" xfId="0" applyFont="1" applyFill="1" applyBorder="1"/>
    <xf numFmtId="0" fontId="19" fillId="20" borderId="1" xfId="0" applyFont="1" applyFill="1" applyBorder="1"/>
    <xf numFmtId="0" fontId="19" fillId="20" borderId="23" xfId="0" applyFont="1" applyFill="1" applyBorder="1"/>
    <xf numFmtId="0" fontId="15" fillId="20" borderId="23" xfId="0" applyFont="1" applyFill="1" applyBorder="1"/>
    <xf numFmtId="0" fontId="15" fillId="20" borderId="0" xfId="0" applyFont="1" applyFill="1"/>
    <xf numFmtId="0" fontId="19" fillId="20" borderId="0" xfId="0" applyFont="1" applyFill="1"/>
    <xf numFmtId="0" fontId="19" fillId="20" borderId="2" xfId="0" applyFont="1" applyFill="1" applyBorder="1"/>
    <xf numFmtId="0" fontId="0" fillId="20" borderId="1" xfId="0" applyFill="1" applyBorder="1"/>
    <xf numFmtId="0" fontId="0" fillId="20" borderId="0" xfId="0" applyFill="1"/>
    <xf numFmtId="0" fontId="0" fillId="20" borderId="2" xfId="0" applyFill="1" applyBorder="1"/>
    <xf numFmtId="0" fontId="23" fillId="20" borderId="1" xfId="0" applyFont="1" applyFill="1" applyBorder="1"/>
    <xf numFmtId="0" fontId="23" fillId="20" borderId="0" xfId="0" applyFont="1" applyFill="1" applyAlignment="1">
      <alignment horizontal="center"/>
    </xf>
    <xf numFmtId="0" fontId="15" fillId="20" borderId="0" xfId="0" applyFont="1" applyFill="1" applyAlignment="1">
      <alignment horizontal="center"/>
    </xf>
    <xf numFmtId="0" fontId="23" fillId="20" borderId="2" xfId="0" applyFont="1" applyFill="1" applyBorder="1"/>
    <xf numFmtId="0" fontId="0" fillId="20" borderId="9" xfId="0" applyFill="1" applyBorder="1"/>
    <xf numFmtId="0" fontId="0" fillId="20" borderId="8" xfId="0" applyFill="1" applyBorder="1"/>
    <xf numFmtId="0" fontId="0" fillId="20" borderId="7" xfId="0" applyFill="1" applyBorder="1"/>
    <xf numFmtId="0" fontId="15" fillId="20" borderId="14" xfId="0" applyFont="1" applyFill="1" applyBorder="1" applyAlignment="1">
      <alignment horizontal="center"/>
    </xf>
    <xf numFmtId="0" fontId="15" fillId="0" borderId="14" xfId="0" applyFont="1" applyBorder="1"/>
    <xf numFmtId="0" fontId="15" fillId="0" borderId="12" xfId="0" applyFont="1" applyBorder="1"/>
    <xf numFmtId="0" fontId="15" fillId="0" borderId="11" xfId="0" applyFont="1" applyBorder="1"/>
    <xf numFmtId="0" fontId="15" fillId="0" borderId="13" xfId="0" applyFont="1" applyBorder="1"/>
    <xf numFmtId="0" fontId="19" fillId="21" borderId="5" xfId="0" applyFont="1" applyFill="1" applyBorder="1"/>
    <xf numFmtId="0" fontId="20" fillId="21" borderId="4" xfId="0" applyFont="1" applyFill="1" applyBorder="1"/>
    <xf numFmtId="0" fontId="19" fillId="21" borderId="4" xfId="0" applyFont="1" applyFill="1" applyBorder="1"/>
    <xf numFmtId="0" fontId="15" fillId="21" borderId="4" xfId="0" applyFont="1" applyFill="1" applyBorder="1"/>
    <xf numFmtId="0" fontId="19" fillId="21" borderId="6" xfId="0" applyFont="1" applyFill="1" applyBorder="1"/>
    <xf numFmtId="0" fontId="19" fillId="21" borderId="1" xfId="0" applyFont="1" applyFill="1" applyBorder="1"/>
    <xf numFmtId="0" fontId="19" fillId="21" borderId="23" xfId="0" applyFont="1" applyFill="1" applyBorder="1"/>
    <xf numFmtId="0" fontId="15" fillId="21" borderId="23" xfId="0" applyFont="1" applyFill="1" applyBorder="1"/>
    <xf numFmtId="0" fontId="15" fillId="21" borderId="0" xfId="0" applyFont="1" applyFill="1"/>
    <xf numFmtId="0" fontId="19" fillId="21" borderId="0" xfId="0" applyFont="1" applyFill="1"/>
    <xf numFmtId="0" fontId="19" fillId="21" borderId="2" xfId="0" applyFont="1" applyFill="1" applyBorder="1"/>
    <xf numFmtId="0" fontId="0" fillId="21" borderId="1" xfId="0" applyFill="1" applyBorder="1"/>
    <xf numFmtId="0" fontId="0" fillId="21" borderId="0" xfId="0" applyFill="1"/>
    <xf numFmtId="0" fontId="0" fillId="21" borderId="2" xfId="0" applyFill="1" applyBorder="1"/>
    <xf numFmtId="0" fontId="23" fillId="21" borderId="1" xfId="0" applyFont="1" applyFill="1" applyBorder="1"/>
    <xf numFmtId="0" fontId="23" fillId="21" borderId="0" xfId="0" applyFont="1" applyFill="1" applyAlignment="1">
      <alignment horizontal="center"/>
    </xf>
    <xf numFmtId="0" fontId="15" fillId="21" borderId="0" xfId="0" applyFont="1" applyFill="1" applyAlignment="1">
      <alignment horizontal="center"/>
    </xf>
    <xf numFmtId="0" fontId="23" fillId="21" borderId="2" xfId="0" applyFont="1" applyFill="1" applyBorder="1"/>
    <xf numFmtId="0" fontId="15" fillId="21" borderId="14" xfId="0" applyFont="1" applyFill="1" applyBorder="1" applyAlignment="1">
      <alignment horizontal="center"/>
    </xf>
    <xf numFmtId="0" fontId="0" fillId="21" borderId="9" xfId="0" applyFill="1" applyBorder="1"/>
    <xf numFmtId="0" fontId="0" fillId="21" borderId="8" xfId="0" applyFill="1" applyBorder="1"/>
    <xf numFmtId="0" fontId="0" fillId="21" borderId="7" xfId="0" applyFill="1" applyBorder="1"/>
    <xf numFmtId="0" fontId="83" fillId="0" borderId="0" xfId="0" applyFont="1"/>
    <xf numFmtId="0" fontId="18" fillId="2" borderId="14" xfId="0" applyFont="1" applyFill="1" applyBorder="1"/>
    <xf numFmtId="0" fontId="18" fillId="14" borderId="14" xfId="0" applyFont="1" applyFill="1" applyBorder="1"/>
    <xf numFmtId="0" fontId="18" fillId="4" borderId="14" xfId="0" applyFont="1" applyFill="1" applyBorder="1"/>
    <xf numFmtId="0" fontId="18" fillId="5" borderId="14" xfId="0" applyFont="1" applyFill="1" applyBorder="1"/>
    <xf numFmtId="0" fontId="23" fillId="3" borderId="0" xfId="0" applyFont="1" applyFill="1"/>
    <xf numFmtId="0" fontId="23" fillId="2" borderId="0" xfId="0" applyFont="1" applyFill="1"/>
    <xf numFmtId="0" fontId="84" fillId="0" borderId="0" xfId="0" applyFont="1"/>
    <xf numFmtId="0" fontId="82" fillId="22" borderId="15" xfId="0" applyFont="1" applyFill="1" applyBorder="1" applyAlignment="1">
      <alignment vertical="top"/>
    </xf>
    <xf numFmtId="0" fontId="56" fillId="22" borderId="15" xfId="0" applyFont="1" applyFill="1" applyBorder="1" applyAlignment="1">
      <alignment horizontal="center" vertical="top"/>
    </xf>
    <xf numFmtId="0" fontId="56" fillId="22" borderId="15" xfId="0" applyFont="1" applyFill="1" applyBorder="1" applyAlignment="1">
      <alignment vertical="top"/>
    </xf>
    <xf numFmtId="0" fontId="17" fillId="0" borderId="0" xfId="3" applyFont="1"/>
    <xf numFmtId="0" fontId="18" fillId="0" borderId="0" xfId="3" applyFont="1" applyAlignment="1">
      <alignment horizontal="left" vertical="top"/>
    </xf>
    <xf numFmtId="0" fontId="18" fillId="0" borderId="4" xfId="3" applyFont="1" applyBorder="1" applyAlignment="1">
      <alignment horizontal="left" vertical="top"/>
    </xf>
    <xf numFmtId="0" fontId="28" fillId="0" borderId="4" xfId="3" applyFont="1" applyBorder="1" applyAlignment="1">
      <alignment horizontal="center" vertical="top"/>
    </xf>
    <xf numFmtId="0" fontId="18" fillId="0" borderId="7" xfId="3" applyFont="1" applyBorder="1" applyAlignment="1">
      <alignment horizontal="left" vertical="top"/>
    </xf>
    <xf numFmtId="0" fontId="28" fillId="0" borderId="7" xfId="3" applyFont="1" applyBorder="1" applyAlignment="1">
      <alignment horizontal="center" vertical="top"/>
    </xf>
    <xf numFmtId="0" fontId="47" fillId="0" borderId="0" xfId="3" applyFont="1"/>
    <xf numFmtId="0" fontId="49" fillId="0" borderId="0" xfId="3" applyFont="1" applyAlignment="1">
      <alignment horizontal="left" vertical="top"/>
    </xf>
    <xf numFmtId="0" fontId="47" fillId="0" borderId="0" xfId="3" applyFont="1" applyAlignment="1">
      <alignment horizontal="left" vertical="top" wrapText="1"/>
    </xf>
    <xf numFmtId="0" fontId="47" fillId="0" borderId="0" xfId="3" applyFont="1" applyAlignment="1">
      <alignment horizontal="center" vertical="top" wrapText="1"/>
    </xf>
    <xf numFmtId="0" fontId="47" fillId="0" borderId="0" xfId="3" applyFont="1" applyAlignment="1">
      <alignment horizontal="center" vertical="top"/>
    </xf>
    <xf numFmtId="0" fontId="49" fillId="19" borderId="49" xfId="3" applyFont="1" applyFill="1" applyBorder="1" applyAlignment="1">
      <alignment horizontal="left" vertical="top" wrapText="1"/>
    </xf>
    <xf numFmtId="0" fontId="49" fillId="0" borderId="3" xfId="3" applyFont="1" applyBorder="1" applyAlignment="1">
      <alignment horizontal="left" vertical="top" wrapText="1"/>
    </xf>
    <xf numFmtId="0" fontId="49" fillId="19" borderId="3" xfId="3" applyFont="1" applyFill="1" applyBorder="1" applyAlignment="1">
      <alignment horizontal="left" vertical="top" wrapText="1"/>
    </xf>
    <xf numFmtId="0" fontId="65" fillId="0" borderId="3" xfId="3" applyFont="1" applyBorder="1" applyAlignment="1">
      <alignment horizontal="left" vertical="top" wrapText="1"/>
    </xf>
    <xf numFmtId="0" fontId="49" fillId="0" borderId="0" xfId="3" applyFont="1" applyAlignment="1">
      <alignment horizontal="right" vertical="top"/>
    </xf>
    <xf numFmtId="0" fontId="65" fillId="19" borderId="3" xfId="3" applyFont="1" applyFill="1" applyBorder="1" applyAlignment="1">
      <alignment horizontal="left" vertical="top" wrapText="1"/>
    </xf>
    <xf numFmtId="0" fontId="49" fillId="0" borderId="10" xfId="3" applyFont="1" applyBorder="1" applyAlignment="1">
      <alignment horizontal="left" vertical="top" wrapText="1"/>
    </xf>
    <xf numFmtId="0" fontId="49" fillId="0" borderId="49" xfId="3" applyFont="1" applyBorder="1" applyAlignment="1">
      <alignment horizontal="center" vertical="top"/>
    </xf>
    <xf numFmtId="0" fontId="67" fillId="19" borderId="3" xfId="3" applyFont="1" applyFill="1" applyBorder="1" applyAlignment="1">
      <alignment horizontal="left" vertical="top" wrapText="1"/>
    </xf>
    <xf numFmtId="0" fontId="49" fillId="19" borderId="10" xfId="3" applyFont="1" applyFill="1" applyBorder="1" applyAlignment="1">
      <alignment horizontal="left" vertical="top" wrapText="1"/>
    </xf>
    <xf numFmtId="0" fontId="49" fillId="0" borderId="10" xfId="3" applyFont="1" applyBorder="1" applyAlignment="1">
      <alignment horizontal="center" vertical="top"/>
    </xf>
    <xf numFmtId="0" fontId="79" fillId="3" borderId="3" xfId="3" applyFont="1" applyFill="1" applyBorder="1" applyAlignment="1">
      <alignment horizontal="left" vertical="top"/>
    </xf>
    <xf numFmtId="0" fontId="80" fillId="0" borderId="49" xfId="3" applyFont="1" applyBorder="1" applyAlignment="1">
      <alignment horizontal="center" vertical="top"/>
    </xf>
    <xf numFmtId="0" fontId="79" fillId="4" borderId="3" xfId="3" applyFont="1" applyFill="1" applyBorder="1" applyAlignment="1">
      <alignment horizontal="left" vertical="top"/>
    </xf>
    <xf numFmtId="0" fontId="80" fillId="0" borderId="3" xfId="3" applyFont="1" applyBorder="1" applyAlignment="1">
      <alignment horizontal="center" vertical="top"/>
    </xf>
    <xf numFmtId="0" fontId="79" fillId="2" borderId="3" xfId="3" applyFont="1" applyFill="1" applyBorder="1" applyAlignment="1">
      <alignment horizontal="left" vertical="top"/>
    </xf>
    <xf numFmtId="0" fontId="78" fillId="0" borderId="10" xfId="3" applyFont="1" applyBorder="1" applyAlignment="1">
      <alignment horizontal="center" vertical="top"/>
    </xf>
    <xf numFmtId="0" fontId="79" fillId="0" borderId="10" xfId="3" applyFont="1" applyBorder="1" applyAlignment="1">
      <alignment horizontal="left" vertical="top"/>
    </xf>
    <xf numFmtId="0" fontId="49" fillId="0" borderId="3" xfId="3" applyFont="1" applyBorder="1" applyAlignment="1">
      <alignment horizontal="left" vertical="top"/>
    </xf>
    <xf numFmtId="0" fontId="65" fillId="0" borderId="10" xfId="3" applyFont="1" applyBorder="1" applyAlignment="1">
      <alignment horizontal="left" vertical="top" wrapText="1"/>
    </xf>
    <xf numFmtId="0" fontId="65" fillId="19" borderId="10" xfId="3" applyFont="1" applyFill="1" applyBorder="1" applyAlignment="1">
      <alignment horizontal="left" vertical="top"/>
    </xf>
    <xf numFmtId="0" fontId="17" fillId="0" borderId="0" xfId="3" applyFont="1" applyAlignment="1">
      <alignment horizontal="center" vertical="top"/>
    </xf>
    <xf numFmtId="0" fontId="17" fillId="0" borderId="4" xfId="3" applyFont="1" applyBorder="1" applyAlignment="1">
      <alignment horizontal="center" vertical="top"/>
    </xf>
    <xf numFmtId="0" fontId="17" fillId="0" borderId="0" xfId="3" applyFont="1" applyAlignment="1">
      <alignment horizontal="left" vertical="top"/>
    </xf>
    <xf numFmtId="0" fontId="17" fillId="0" borderId="7" xfId="3" applyFont="1" applyBorder="1" applyAlignment="1">
      <alignment horizontal="center" vertical="top"/>
    </xf>
    <xf numFmtId="0" fontId="47" fillId="0" borderId="49" xfId="3" applyFont="1" applyBorder="1" applyAlignment="1">
      <alignment horizontal="center" vertical="top" wrapText="1"/>
    </xf>
    <xf numFmtId="0" fontId="47" fillId="0" borderId="10" xfId="3" applyFont="1" applyBorder="1" applyAlignment="1">
      <alignment horizontal="center" vertical="top" wrapText="1"/>
    </xf>
    <xf numFmtId="0" fontId="49" fillId="19" borderId="10" xfId="3" applyFont="1" applyFill="1" applyBorder="1" applyAlignment="1">
      <alignment horizontal="left" vertical="top"/>
    </xf>
    <xf numFmtId="0" fontId="49" fillId="0" borderId="0" xfId="3" applyFont="1" applyAlignment="1">
      <alignment horizontal="left" vertical="top" wrapText="1"/>
    </xf>
    <xf numFmtId="0" fontId="17" fillId="0" borderId="0" xfId="3" applyFont="1" applyAlignment="1">
      <alignment horizontal="left" vertical="top" wrapText="1"/>
    </xf>
    <xf numFmtId="0" fontId="18" fillId="0" borderId="0" xfId="3" applyFont="1" applyAlignment="1">
      <alignment horizontal="center" vertical="top"/>
    </xf>
    <xf numFmtId="0" fontId="18" fillId="0" borderId="4" xfId="3" applyFont="1" applyBorder="1" applyAlignment="1">
      <alignment horizontal="center" vertical="top"/>
    </xf>
    <xf numFmtId="0" fontId="18" fillId="0" borderId="7" xfId="3" applyFont="1" applyBorder="1" applyAlignment="1">
      <alignment horizontal="center" vertical="top"/>
    </xf>
    <xf numFmtId="0" fontId="65" fillId="19" borderId="10" xfId="3" applyFont="1" applyFill="1" applyBorder="1" applyAlignment="1">
      <alignment horizontal="left" vertical="top" wrapText="1"/>
    </xf>
    <xf numFmtId="0" fontId="65" fillId="0" borderId="0" xfId="3" applyFont="1" applyAlignment="1">
      <alignment horizontal="left" vertical="top" wrapText="1"/>
    </xf>
    <xf numFmtId="0" fontId="65" fillId="19" borderId="49" xfId="3" applyFont="1" applyFill="1" applyBorder="1" applyAlignment="1">
      <alignment horizontal="left" vertical="top" wrapText="1"/>
    </xf>
    <xf numFmtId="0" fontId="49" fillId="0" borderId="10" xfId="3" applyFont="1" applyBorder="1" applyAlignment="1">
      <alignment horizontal="left" vertical="top"/>
    </xf>
    <xf numFmtId="0" fontId="49" fillId="19" borderId="3" xfId="3" applyFont="1" applyFill="1" applyBorder="1" applyAlignment="1">
      <alignment horizontal="left" vertical="top"/>
    </xf>
    <xf numFmtId="0" fontId="29" fillId="0" borderId="4" xfId="3" applyFont="1" applyBorder="1" applyAlignment="1">
      <alignment horizontal="center" vertical="top"/>
    </xf>
    <xf numFmtId="0" fontId="29" fillId="0" borderId="7" xfId="3" applyFont="1" applyBorder="1" applyAlignment="1">
      <alignment horizontal="center" vertical="top"/>
    </xf>
    <xf numFmtId="0" fontId="49" fillId="0" borderId="0" xfId="3" applyFont="1" applyAlignment="1">
      <alignment horizontal="center" vertical="top"/>
    </xf>
    <xf numFmtId="0" fontId="29" fillId="0" borderId="0" xfId="3" applyFont="1" applyAlignment="1">
      <alignment horizontal="center" vertical="top"/>
    </xf>
    <xf numFmtId="0" fontId="29" fillId="0" borderId="11" xfId="3" applyFont="1" applyBorder="1" applyAlignment="1">
      <alignment horizontal="center" vertical="top"/>
    </xf>
    <xf numFmtId="0" fontId="29" fillId="0" borderId="0" xfId="3" applyFont="1" applyAlignment="1">
      <alignment horizontal="left" vertical="top"/>
    </xf>
    <xf numFmtId="0" fontId="28" fillId="0" borderId="0" xfId="3" applyFont="1"/>
    <xf numFmtId="0" fontId="29" fillId="0" borderId="23" xfId="3" applyFont="1" applyBorder="1" applyAlignment="1">
      <alignment horizontal="center" vertical="top"/>
    </xf>
    <xf numFmtId="0" fontId="28" fillId="0" borderId="23" xfId="3" applyFont="1" applyBorder="1" applyAlignment="1">
      <alignment horizontal="center" vertical="top"/>
    </xf>
    <xf numFmtId="0" fontId="17" fillId="0" borderId="49" xfId="3" applyFont="1" applyBorder="1" applyAlignment="1">
      <alignment horizontal="center" vertical="top" wrapText="1"/>
    </xf>
    <xf numFmtId="0" fontId="18" fillId="19" borderId="10" xfId="3" applyFont="1" applyFill="1" applyBorder="1" applyAlignment="1">
      <alignment horizontal="left" vertical="top" wrapText="1"/>
    </xf>
    <xf numFmtId="0" fontId="17" fillId="0" borderId="0" xfId="3" applyFont="1" applyAlignment="1">
      <alignment horizontal="center" vertical="top" wrapText="1"/>
    </xf>
    <xf numFmtId="0" fontId="65" fillId="19" borderId="14" xfId="3" applyFont="1" applyFill="1" applyBorder="1" applyAlignment="1">
      <alignment horizontal="left" vertical="top" wrapText="1"/>
    </xf>
    <xf numFmtId="0" fontId="18" fillId="0" borderId="0" xfId="3" applyFont="1" applyAlignment="1">
      <alignment horizontal="left" vertical="top" wrapText="1"/>
    </xf>
    <xf numFmtId="0" fontId="49" fillId="19" borderId="0" xfId="3" applyFont="1" applyFill="1" applyAlignment="1">
      <alignment horizontal="left" vertical="top" wrapText="1"/>
    </xf>
    <xf numFmtId="0" fontId="67" fillId="19" borderId="49" xfId="3" applyFont="1" applyFill="1" applyBorder="1" applyAlignment="1">
      <alignment horizontal="left" vertical="top" wrapText="1"/>
    </xf>
    <xf numFmtId="0" fontId="70" fillId="0" borderId="3" xfId="3" applyFont="1" applyBorder="1" applyAlignment="1">
      <alignment horizontal="left" vertical="top" wrapText="1"/>
    </xf>
    <xf numFmtId="0" fontId="77" fillId="19" borderId="3" xfId="3" applyFont="1" applyFill="1" applyBorder="1" applyAlignment="1">
      <alignment horizontal="left" vertical="top" wrapText="1"/>
    </xf>
    <xf numFmtId="0" fontId="70" fillId="19" borderId="3" xfId="3" applyFont="1" applyFill="1" applyBorder="1" applyAlignment="1">
      <alignment horizontal="left" vertical="top" wrapText="1"/>
    </xf>
    <xf numFmtId="0" fontId="70" fillId="0" borderId="10" xfId="3" applyFont="1" applyBorder="1" applyAlignment="1">
      <alignment horizontal="left" vertical="top" wrapText="1"/>
    </xf>
    <xf numFmtId="0" fontId="70" fillId="0" borderId="10" xfId="3" applyFont="1" applyBorder="1" applyAlignment="1">
      <alignment horizontal="left" vertical="top"/>
    </xf>
    <xf numFmtId="0" fontId="70" fillId="19" borderId="49" xfId="3" applyFont="1" applyFill="1" applyBorder="1" applyAlignment="1">
      <alignment horizontal="left" vertical="top" wrapText="1"/>
    </xf>
    <xf numFmtId="0" fontId="70" fillId="0" borderId="0" xfId="3" applyFont="1" applyAlignment="1">
      <alignment horizontal="left" vertical="top" wrapText="1"/>
    </xf>
    <xf numFmtId="0" fontId="67" fillId="0" borderId="3" xfId="3" applyFont="1" applyBorder="1" applyAlignment="1">
      <alignment horizontal="left" vertical="top" wrapText="1"/>
    </xf>
    <xf numFmtId="0" fontId="70" fillId="19" borderId="10" xfId="3" applyFont="1" applyFill="1" applyBorder="1" applyAlignment="1">
      <alignment horizontal="left" vertical="top" wrapText="1"/>
    </xf>
    <xf numFmtId="0" fontId="18" fillId="19" borderId="49" xfId="3" applyFont="1" applyFill="1" applyBorder="1" applyAlignment="1">
      <alignment horizontal="left" vertical="top" wrapText="1"/>
    </xf>
    <xf numFmtId="0" fontId="18" fillId="0" borderId="3" xfId="3" applyFont="1" applyBorder="1" applyAlignment="1">
      <alignment horizontal="left" vertical="top" wrapText="1"/>
    </xf>
    <xf numFmtId="0" fontId="71" fillId="0" borderId="3" xfId="3" applyFont="1" applyBorder="1" applyAlignment="1">
      <alignment horizontal="left" vertical="top" wrapText="1"/>
    </xf>
    <xf numFmtId="0" fontId="36" fillId="19" borderId="3" xfId="3" applyFont="1" applyFill="1" applyBorder="1" applyAlignment="1">
      <alignment horizontal="left" vertical="top" wrapText="1"/>
    </xf>
    <xf numFmtId="0" fontId="68" fillId="19" borderId="3" xfId="3" applyFont="1" applyFill="1" applyBorder="1" applyAlignment="1">
      <alignment horizontal="left" vertical="top" wrapText="1"/>
    </xf>
    <xf numFmtId="0" fontId="18" fillId="19" borderId="3" xfId="3" applyFont="1" applyFill="1" applyBorder="1" applyAlignment="1">
      <alignment horizontal="left" vertical="top" wrapText="1"/>
    </xf>
    <xf numFmtId="0" fontId="71" fillId="19" borderId="3" xfId="3" applyFont="1" applyFill="1" applyBorder="1" applyAlignment="1">
      <alignment horizontal="left" vertical="top" wrapText="1"/>
    </xf>
    <xf numFmtId="0" fontId="18" fillId="0" borderId="10" xfId="3" applyFont="1" applyBorder="1" applyAlignment="1">
      <alignment horizontal="left" vertical="top" wrapText="1"/>
    </xf>
    <xf numFmtId="0" fontId="36" fillId="0" borderId="10" xfId="3" applyFont="1" applyBorder="1" applyAlignment="1">
      <alignment horizontal="left" vertical="top" wrapText="1"/>
    </xf>
    <xf numFmtId="0" fontId="71" fillId="19" borderId="49" xfId="3" applyFont="1" applyFill="1" applyBorder="1" applyAlignment="1">
      <alignment horizontal="left" vertical="top" wrapText="1"/>
    </xf>
    <xf numFmtId="0" fontId="36" fillId="0" borderId="3" xfId="3" applyFont="1" applyBorder="1" applyAlignment="1">
      <alignment horizontal="left" vertical="top" wrapText="1"/>
    </xf>
    <xf numFmtId="0" fontId="68" fillId="0" borderId="3" xfId="3" applyFont="1" applyBorder="1" applyAlignment="1">
      <alignment horizontal="left" vertical="top" wrapText="1"/>
    </xf>
    <xf numFmtId="0" fontId="71" fillId="0" borderId="10" xfId="3" applyFont="1" applyBorder="1" applyAlignment="1">
      <alignment horizontal="left" vertical="top" wrapText="1"/>
    </xf>
    <xf numFmtId="0" fontId="71" fillId="19" borderId="10" xfId="3" applyFont="1" applyFill="1" applyBorder="1" applyAlignment="1">
      <alignment horizontal="left" vertical="top" wrapText="1"/>
    </xf>
    <xf numFmtId="0" fontId="36" fillId="19" borderId="49" xfId="3" applyFont="1" applyFill="1" applyBorder="1" applyAlignment="1">
      <alignment horizontal="left" vertical="top" wrapText="1"/>
    </xf>
    <xf numFmtId="0" fontId="36" fillId="19" borderId="10" xfId="3" applyFont="1" applyFill="1" applyBorder="1" applyAlignment="1">
      <alignment horizontal="left" vertical="top" wrapText="1"/>
    </xf>
    <xf numFmtId="0" fontId="17" fillId="0" borderId="0" xfId="3" applyFont="1" applyAlignment="1">
      <alignment horizontal="center"/>
    </xf>
    <xf numFmtId="0" fontId="67" fillId="19" borderId="10" xfId="3" applyFont="1" applyFill="1" applyBorder="1" applyAlignment="1">
      <alignment horizontal="left" vertical="top" wrapText="1"/>
    </xf>
    <xf numFmtId="0" fontId="67" fillId="0" borderId="10" xfId="3" applyFont="1" applyBorder="1" applyAlignment="1">
      <alignment horizontal="left" vertical="top" wrapText="1"/>
    </xf>
    <xf numFmtId="0" fontId="49" fillId="19" borderId="0" xfId="3" applyFont="1" applyFill="1" applyAlignment="1">
      <alignment horizontal="left" vertical="top"/>
    </xf>
    <xf numFmtId="0" fontId="28" fillId="0" borderId="0" xfId="3" applyFont="1" applyAlignment="1">
      <alignment horizontal="center" vertical="top"/>
    </xf>
    <xf numFmtId="0" fontId="58" fillId="2" borderId="0" xfId="0" applyFont="1" applyFill="1"/>
    <xf numFmtId="0" fontId="85" fillId="2" borderId="0" xfId="0" applyFont="1" applyFill="1"/>
    <xf numFmtId="0" fontId="85" fillId="2" borderId="46" xfId="0" applyFont="1" applyFill="1" applyBorder="1"/>
    <xf numFmtId="0" fontId="86" fillId="0" borderId="0" xfId="0" applyFont="1"/>
    <xf numFmtId="0" fontId="18" fillId="2" borderId="7" xfId="0" applyFont="1" applyFill="1" applyBorder="1" applyAlignment="1">
      <alignment horizontal="center" vertical="center"/>
    </xf>
    <xf numFmtId="0" fontId="17" fillId="0" borderId="11" xfId="2" applyFont="1" applyBorder="1" applyAlignment="1" applyProtection="1">
      <alignment horizontal="center" vertical="center"/>
      <protection locked="0"/>
    </xf>
    <xf numFmtId="0" fontId="17" fillId="0" borderId="11" xfId="2" applyFont="1" applyBorder="1" applyAlignment="1" applyProtection="1">
      <alignment horizontal="left" vertical="center"/>
      <protection locked="0"/>
    </xf>
    <xf numFmtId="0" fontId="18" fillId="24" borderId="4" xfId="0" applyFont="1" applyFill="1" applyBorder="1" applyAlignment="1">
      <alignment vertical="center"/>
    </xf>
    <xf numFmtId="0" fontId="18" fillId="24" borderId="0" xfId="0" applyFont="1" applyFill="1" applyAlignment="1">
      <alignment vertical="center"/>
    </xf>
    <xf numFmtId="0" fontId="88" fillId="24" borderId="0" xfId="2" applyFont="1" applyFill="1" applyAlignment="1" applyProtection="1">
      <alignment horizontal="center" vertical="center"/>
      <protection locked="0"/>
    </xf>
    <xf numFmtId="0" fontId="18" fillId="24" borderId="4" xfId="2" applyFont="1" applyFill="1" applyBorder="1" applyAlignment="1" applyProtection="1">
      <alignment horizontal="center" vertical="center"/>
      <protection locked="0"/>
    </xf>
    <xf numFmtId="0" fontId="18" fillId="24" borderId="7" xfId="0" applyFont="1" applyFill="1" applyBorder="1" applyAlignment="1">
      <alignment vertical="center"/>
    </xf>
    <xf numFmtId="0" fontId="88" fillId="24" borderId="7" xfId="2" applyFont="1" applyFill="1" applyBorder="1" applyAlignment="1" applyProtection="1">
      <alignment horizontal="center" vertical="center"/>
      <protection locked="0"/>
    </xf>
    <xf numFmtId="0" fontId="18" fillId="24" borderId="11" xfId="2" applyFont="1" applyFill="1" applyBorder="1" applyAlignment="1" applyProtection="1">
      <alignment horizontal="center" vertical="center"/>
      <protection locked="0"/>
    </xf>
    <xf numFmtId="0" fontId="18" fillId="24" borderId="11" xfId="0" applyFont="1" applyFill="1" applyBorder="1" applyAlignment="1">
      <alignment vertical="center"/>
    </xf>
    <xf numFmtId="0" fontId="88" fillId="0" borderId="4" xfId="2" applyFont="1" applyBorder="1" applyAlignment="1" applyProtection="1">
      <alignment horizontal="center" vertical="center"/>
      <protection locked="0"/>
    </xf>
    <xf numFmtId="0" fontId="18" fillId="0" borderId="4" xfId="0" applyFont="1" applyBorder="1" applyAlignment="1">
      <alignment vertical="center"/>
    </xf>
    <xf numFmtId="0" fontId="18" fillId="0" borderId="7" xfId="2" applyFont="1" applyBorder="1" applyAlignment="1" applyProtection="1">
      <alignment horizontal="center" vertical="center"/>
      <protection locked="0"/>
    </xf>
    <xf numFmtId="0" fontId="18" fillId="0" borderId="7" xfId="0" applyFont="1" applyBorder="1" applyAlignment="1">
      <alignment vertical="center"/>
    </xf>
    <xf numFmtId="0" fontId="28" fillId="23" borderId="5" xfId="0" applyFont="1" applyFill="1" applyBorder="1"/>
    <xf numFmtId="0" fontId="28" fillId="23" borderId="4" xfId="0" applyFont="1" applyFill="1" applyBorder="1"/>
    <xf numFmtId="0" fontId="2" fillId="23" borderId="4" xfId="0" applyFont="1" applyFill="1" applyBorder="1"/>
    <xf numFmtId="0" fontId="28" fillId="23" borderId="6" xfId="0" applyFont="1" applyFill="1" applyBorder="1"/>
    <xf numFmtId="0" fontId="38" fillId="23" borderId="1" xfId="0" applyFont="1" applyFill="1" applyBorder="1" applyAlignment="1">
      <alignment horizontal="left"/>
    </xf>
    <xf numFmtId="0" fontId="75" fillId="23" borderId="0" xfId="0" applyFont="1" applyFill="1"/>
    <xf numFmtId="0" fontId="75" fillId="23" borderId="0" xfId="0" applyFont="1" applyFill="1" applyAlignment="1">
      <alignment horizontal="center"/>
    </xf>
    <xf numFmtId="0" fontId="49" fillId="23" borderId="0" xfId="0" applyFont="1" applyFill="1"/>
    <xf numFmtId="0" fontId="49" fillId="23" borderId="2" xfId="0" applyFont="1" applyFill="1" applyBorder="1"/>
    <xf numFmtId="0" fontId="17" fillId="0" borderId="12" xfId="2" applyFont="1" applyBorder="1" applyAlignment="1" applyProtection="1">
      <alignment horizontal="center" vertical="center"/>
      <protection locked="0"/>
    </xf>
    <xf numFmtId="2" fontId="88" fillId="24" borderId="1" xfId="2" applyNumberFormat="1" applyFont="1" applyFill="1" applyBorder="1" applyAlignment="1" applyProtection="1">
      <alignment horizontal="center" vertical="center"/>
      <protection locked="0"/>
    </xf>
    <xf numFmtId="0" fontId="88" fillId="0" borderId="5" xfId="2" applyFont="1" applyBorder="1" applyAlignment="1" applyProtection="1">
      <alignment horizontal="center" vertical="center"/>
      <protection locked="0"/>
    </xf>
    <xf numFmtId="0" fontId="18" fillId="24" borderId="5" xfId="2" applyFont="1" applyFill="1" applyBorder="1" applyAlignment="1" applyProtection="1">
      <alignment horizontal="center" vertical="center"/>
      <protection locked="0"/>
    </xf>
    <xf numFmtId="0" fontId="18" fillId="24" borderId="12" xfId="2" applyFont="1" applyFill="1" applyBorder="1" applyAlignment="1" applyProtection="1">
      <alignment horizontal="center" vertical="center"/>
      <protection locked="0"/>
    </xf>
    <xf numFmtId="0" fontId="18" fillId="0" borderId="8" xfId="2" applyFont="1" applyBorder="1" applyAlignment="1" applyProtection="1">
      <alignment horizontal="center" vertical="center"/>
      <protection locked="0"/>
    </xf>
    <xf numFmtId="0" fontId="88" fillId="24" borderId="8" xfId="2" applyFont="1" applyFill="1" applyBorder="1" applyAlignment="1" applyProtection="1">
      <alignment horizontal="center" vertical="center"/>
      <protection locked="0"/>
    </xf>
    <xf numFmtId="0" fontId="18" fillId="2" borderId="8" xfId="0" applyFont="1" applyFill="1" applyBorder="1" applyAlignment="1">
      <alignment horizontal="center" vertical="center"/>
    </xf>
    <xf numFmtId="0" fontId="79" fillId="0" borderId="8" xfId="0" applyFont="1" applyBorder="1" applyAlignment="1">
      <alignment vertical="center"/>
    </xf>
    <xf numFmtId="0" fontId="49" fillId="0" borderId="7" xfId="0" applyFont="1" applyBorder="1" applyAlignment="1">
      <alignment vertical="center"/>
    </xf>
    <xf numFmtId="0" fontId="26" fillId="4" borderId="4" xfId="0" applyFont="1" applyFill="1" applyBorder="1"/>
    <xf numFmtId="0" fontId="26" fillId="4" borderId="6" xfId="0" applyFont="1" applyFill="1" applyBorder="1"/>
    <xf numFmtId="49" fontId="38" fillId="11" borderId="12" xfId="0" applyNumberFormat="1" applyFont="1" applyFill="1" applyBorder="1" applyAlignment="1">
      <alignment horizontal="center"/>
    </xf>
    <xf numFmtId="49" fontId="17" fillId="4" borderId="12" xfId="0" applyNumberFormat="1" applyFont="1" applyFill="1" applyBorder="1" applyAlignment="1">
      <alignment horizontal="center"/>
    </xf>
    <xf numFmtId="49" fontId="17" fillId="4" borderId="5" xfId="0" applyNumberFormat="1" applyFont="1" applyFill="1" applyBorder="1" applyAlignment="1">
      <alignment horizontal="center"/>
    </xf>
    <xf numFmtId="0" fontId="0" fillId="13" borderId="18" xfId="0" applyFill="1" applyBorder="1"/>
    <xf numFmtId="0" fontId="0" fillId="13" borderId="19" xfId="0" applyFill="1" applyBorder="1"/>
    <xf numFmtId="0" fontId="0" fillId="13" borderId="17" xfId="0" applyFill="1" applyBorder="1"/>
    <xf numFmtId="0" fontId="0" fillId="13" borderId="20" xfId="0" applyFill="1" applyBorder="1"/>
    <xf numFmtId="0" fontId="0" fillId="13" borderId="21" xfId="0" applyFill="1" applyBorder="1"/>
    <xf numFmtId="0" fontId="0" fillId="13" borderId="22" xfId="0" applyFill="1" applyBorder="1"/>
    <xf numFmtId="0" fontId="0" fillId="13" borderId="23" xfId="0" applyFill="1" applyBorder="1"/>
    <xf numFmtId="0" fontId="0" fillId="13" borderId="24" xfId="0" applyFill="1" applyBorder="1"/>
    <xf numFmtId="0" fontId="18" fillId="4" borderId="5" xfId="0" applyFont="1" applyFill="1" applyBorder="1" applyAlignment="1">
      <alignment horizontal="left" vertical="top" readingOrder="1"/>
    </xf>
    <xf numFmtId="0" fontId="0" fillId="4" borderId="6" xfId="0" applyFill="1" applyBorder="1"/>
    <xf numFmtId="0" fontId="18" fillId="4" borderId="8" xfId="0" applyFont="1" applyFill="1" applyBorder="1" applyAlignment="1">
      <alignment horizontal="left" vertical="top" readingOrder="1"/>
    </xf>
    <xf numFmtId="0" fontId="0" fillId="4" borderId="9" xfId="0" applyFill="1" applyBorder="1"/>
    <xf numFmtId="0" fontId="18" fillId="4" borderId="12" xfId="0" applyFont="1" applyFill="1" applyBorder="1" applyAlignment="1">
      <alignment horizontal="left" vertical="top" readingOrder="1"/>
    </xf>
    <xf numFmtId="0" fontId="0" fillId="4" borderId="13" xfId="0" applyFill="1" applyBorder="1"/>
    <xf numFmtId="0" fontId="17" fillId="11" borderId="12" xfId="0" applyFont="1" applyFill="1" applyBorder="1" applyAlignment="1">
      <alignment vertical="top"/>
    </xf>
    <xf numFmtId="0" fontId="26" fillId="11" borderId="11" xfId="0" applyFont="1" applyFill="1" applyBorder="1"/>
    <xf numFmtId="0" fontId="26" fillId="11" borderId="13" xfId="0" applyFont="1" applyFill="1" applyBorder="1"/>
    <xf numFmtId="0" fontId="18" fillId="4" borderId="5" xfId="0" applyFont="1" applyFill="1" applyBorder="1" applyAlignment="1">
      <alignment vertical="top"/>
    </xf>
    <xf numFmtId="0" fontId="18" fillId="4" borderId="12" xfId="0" applyFont="1" applyFill="1" applyBorder="1" applyAlignment="1">
      <alignment vertical="top"/>
    </xf>
    <xf numFmtId="0" fontId="18" fillId="4" borderId="8" xfId="0" applyFont="1" applyFill="1" applyBorder="1" applyAlignment="1">
      <alignment vertical="top"/>
    </xf>
    <xf numFmtId="0" fontId="90" fillId="25" borderId="0" xfId="1" applyFont="1" applyFill="1" applyAlignment="1">
      <alignment horizontal="left" vertical="top"/>
    </xf>
    <xf numFmtId="0" fontId="8" fillId="25" borderId="0" xfId="1" applyFill="1"/>
    <xf numFmtId="0" fontId="8" fillId="0" borderId="0" xfId="1"/>
    <xf numFmtId="0" fontId="8" fillId="11" borderId="0" xfId="1" applyFill="1"/>
    <xf numFmtId="0" fontId="92" fillId="11" borderId="0" xfId="1" applyFont="1" applyFill="1" applyAlignment="1">
      <alignment horizontal="center" vertical="top"/>
    </xf>
    <xf numFmtId="0" fontId="8" fillId="26" borderId="0" xfId="1" applyFill="1"/>
    <xf numFmtId="0" fontId="94" fillId="26" borderId="0" xfId="1" applyFont="1" applyFill="1" applyAlignment="1">
      <alignment horizontal="left" vertical="top"/>
    </xf>
    <xf numFmtId="0" fontId="95" fillId="0" borderId="0" xfId="1" applyFont="1" applyAlignment="1">
      <alignment vertical="center"/>
    </xf>
    <xf numFmtId="0" fontId="20" fillId="0" borderId="0" xfId="1" applyFont="1" applyAlignment="1">
      <alignment vertical="center"/>
    </xf>
    <xf numFmtId="0" fontId="87" fillId="0" borderId="11" xfId="1" applyFont="1" applyBorder="1" applyAlignment="1">
      <alignment vertical="center"/>
    </xf>
    <xf numFmtId="0" fontId="87" fillId="0" borderId="11" xfId="1" applyFont="1" applyBorder="1" applyAlignment="1">
      <alignment horizontal="center" vertical="center"/>
    </xf>
    <xf numFmtId="0" fontId="96" fillId="0" borderId="0" xfId="1" applyFont="1"/>
    <xf numFmtId="0" fontId="20" fillId="0" borderId="0" xfId="1" applyFont="1" applyAlignment="1">
      <alignment vertical="center" wrapText="1"/>
    </xf>
    <xf numFmtId="0" fontId="98" fillId="0" borderId="11" xfId="1" applyFont="1" applyBorder="1" applyAlignment="1">
      <alignment horizontal="center" vertical="center"/>
    </xf>
    <xf numFmtId="0" fontId="17" fillId="0" borderId="11" xfId="1" applyFont="1" applyBorder="1" applyAlignment="1">
      <alignment vertical="center"/>
    </xf>
    <xf numFmtId="0" fontId="8" fillId="0" borderId="11" xfId="1" applyBorder="1"/>
    <xf numFmtId="0" fontId="20" fillId="0" borderId="11" xfId="1" applyFont="1" applyBorder="1" applyAlignment="1">
      <alignment vertical="center" wrapText="1"/>
    </xf>
    <xf numFmtId="0" fontId="17" fillId="0" borderId="11" xfId="1" applyFont="1" applyBorder="1" applyAlignment="1">
      <alignment horizontal="center" vertical="top"/>
    </xf>
    <xf numFmtId="0" fontId="47" fillId="0" borderId="0" xfId="1" applyFont="1" applyAlignment="1">
      <alignment horizontal="left" vertical="top"/>
    </xf>
    <xf numFmtId="0" fontId="60" fillId="0" borderId="0" xfId="1" applyFont="1" applyAlignment="1">
      <alignment vertical="center"/>
    </xf>
    <xf numFmtId="0" fontId="60" fillId="0" borderId="0" xfId="1" applyFont="1" applyAlignment="1">
      <alignment horizontal="center" vertical="center"/>
    </xf>
    <xf numFmtId="0" fontId="88" fillId="16" borderId="0" xfId="1" applyFont="1" applyFill="1" applyAlignment="1">
      <alignment horizontal="center" vertical="center"/>
    </xf>
    <xf numFmtId="0" fontId="88" fillId="16" borderId="0" xfId="1" applyFont="1" applyFill="1" applyAlignment="1">
      <alignment vertical="center"/>
    </xf>
    <xf numFmtId="0" fontId="8" fillId="16" borderId="0" xfId="1" applyFill="1"/>
    <xf numFmtId="0" fontId="20" fillId="16" borderId="0" xfId="1" applyFont="1" applyFill="1" applyAlignment="1">
      <alignment vertical="center" wrapText="1"/>
    </xf>
    <xf numFmtId="0" fontId="8" fillId="0" borderId="0" xfId="1" applyAlignment="1">
      <alignment horizontal="left" vertical="top"/>
    </xf>
    <xf numFmtId="0" fontId="36" fillId="16" borderId="0" xfId="1" applyFont="1" applyFill="1" applyAlignment="1">
      <alignment vertical="center"/>
    </xf>
    <xf numFmtId="0" fontId="36" fillId="16" borderId="0" xfId="1" applyFont="1" applyFill="1" applyAlignment="1">
      <alignment horizontal="center" vertical="center"/>
    </xf>
    <xf numFmtId="0" fontId="88" fillId="0" borderId="0" xfId="1" applyFont="1" applyAlignment="1">
      <alignment horizontal="center" vertical="center"/>
    </xf>
    <xf numFmtId="0" fontId="36" fillId="0" borderId="0" xfId="1" applyFont="1" applyAlignment="1">
      <alignment vertical="center"/>
    </xf>
    <xf numFmtId="0" fontId="36" fillId="0" borderId="0" xfId="1" applyFont="1" applyAlignment="1">
      <alignment horizontal="center" vertical="center"/>
    </xf>
    <xf numFmtId="0" fontId="88" fillId="0" borderId="0" xfId="1" applyFont="1" applyAlignment="1">
      <alignment vertical="center"/>
    </xf>
    <xf numFmtId="0" fontId="18" fillId="0" borderId="0" xfId="1" applyFont="1" applyAlignment="1">
      <alignment vertical="center"/>
    </xf>
    <xf numFmtId="0" fontId="18" fillId="0" borderId="0" xfId="1" applyFont="1" applyAlignment="1">
      <alignment horizontal="center" vertical="center"/>
    </xf>
    <xf numFmtId="3" fontId="60" fillId="0" borderId="0" xfId="1" applyNumberFormat="1" applyFont="1" applyAlignment="1">
      <alignment horizontal="center" vertical="center"/>
    </xf>
    <xf numFmtId="0" fontId="18" fillId="16" borderId="0" xfId="1" applyFont="1" applyFill="1" applyAlignment="1">
      <alignment vertical="center"/>
    </xf>
    <xf numFmtId="0" fontId="18" fillId="16" borderId="0" xfId="1" applyFont="1" applyFill="1" applyAlignment="1">
      <alignment horizontal="center" vertical="center"/>
    </xf>
    <xf numFmtId="0" fontId="68" fillId="16" borderId="0" xfId="1" applyFont="1" applyFill="1" applyAlignment="1">
      <alignment vertical="center"/>
    </xf>
    <xf numFmtId="0" fontId="68" fillId="16" borderId="0" xfId="1" applyFont="1" applyFill="1" applyAlignment="1">
      <alignment horizontal="center" vertical="center"/>
    </xf>
    <xf numFmtId="0" fontId="71" fillId="16" borderId="0" xfId="1" applyFont="1" applyFill="1" applyAlignment="1">
      <alignment vertical="center"/>
    </xf>
    <xf numFmtId="0" fontId="71" fillId="16" borderId="0" xfId="1" applyFont="1" applyFill="1" applyAlignment="1">
      <alignment horizontal="center" vertical="center"/>
    </xf>
    <xf numFmtId="0" fontId="71" fillId="0" borderId="0" xfId="1" applyFont="1" applyAlignment="1">
      <alignment vertical="center"/>
    </xf>
    <xf numFmtId="0" fontId="71" fillId="0" borderId="0" xfId="1" applyFont="1" applyAlignment="1">
      <alignment horizontal="center" vertical="center"/>
    </xf>
    <xf numFmtId="3" fontId="71" fillId="16" borderId="0" xfId="1" applyNumberFormat="1" applyFont="1" applyFill="1" applyAlignment="1">
      <alignment horizontal="center" vertical="center"/>
    </xf>
    <xf numFmtId="3" fontId="36" fillId="0" borderId="0" xfId="1" applyNumberFormat="1" applyFont="1" applyAlignment="1">
      <alignment horizontal="center" vertical="center"/>
    </xf>
    <xf numFmtId="0" fontId="96" fillId="0" borderId="0" xfId="1" applyFont="1" applyAlignment="1">
      <alignment vertical="center" wrapText="1"/>
    </xf>
    <xf numFmtId="3" fontId="71" fillId="0" borderId="0" xfId="1" applyNumberFormat="1" applyFont="1" applyAlignment="1">
      <alignment horizontal="center" vertical="center"/>
    </xf>
    <xf numFmtId="0" fontId="96" fillId="0" borderId="0" xfId="1" applyFont="1" applyAlignment="1">
      <alignment vertical="center"/>
    </xf>
    <xf numFmtId="0" fontId="60" fillId="0" borderId="0" xfId="1" applyFont="1" applyAlignment="1">
      <alignment horizontal="left" vertical="top"/>
    </xf>
    <xf numFmtId="0" fontId="90" fillId="27" borderId="0" xfId="1" applyFont="1" applyFill="1" applyAlignment="1">
      <alignment horizontal="left" vertical="top"/>
    </xf>
    <xf numFmtId="0" fontId="8" fillId="27" borderId="0" xfId="1" applyFill="1"/>
    <xf numFmtId="0" fontId="8" fillId="28" borderId="0" xfId="1" applyFill="1"/>
    <xf numFmtId="0" fontId="92" fillId="28" borderId="0" xfId="1" applyFont="1" applyFill="1" applyAlignment="1">
      <alignment horizontal="left" vertical="top"/>
    </xf>
    <xf numFmtId="0" fontId="94" fillId="26" borderId="0" xfId="1" applyFont="1" applyFill="1" applyAlignment="1">
      <alignment horizontal="left" vertical="top" readingOrder="1"/>
    </xf>
    <xf numFmtId="0" fontId="18" fillId="26" borderId="0" xfId="1" applyFont="1" applyFill="1" applyAlignment="1">
      <alignment horizontal="left" vertical="top"/>
    </xf>
    <xf numFmtId="0" fontId="20" fillId="26" borderId="0" xfId="1" applyFont="1" applyFill="1" applyAlignment="1">
      <alignment horizontal="left" vertical="top" wrapText="1"/>
    </xf>
    <xf numFmtId="0" fontId="8" fillId="26" borderId="0" xfId="1" applyFill="1" applyAlignment="1">
      <alignment horizontal="left" vertical="top"/>
    </xf>
    <xf numFmtId="0" fontId="103" fillId="0" borderId="0" xfId="1" applyFont="1" applyAlignment="1">
      <alignment vertical="center"/>
    </xf>
    <xf numFmtId="0" fontId="17" fillId="0" borderId="11" xfId="1" applyFont="1" applyBorder="1" applyAlignment="1">
      <alignment horizontal="center" vertical="center"/>
    </xf>
    <xf numFmtId="0" fontId="35" fillId="0" borderId="0" xfId="1" applyFont="1" applyAlignment="1">
      <alignment horizontal="center" vertical="center"/>
    </xf>
    <xf numFmtId="0" fontId="49" fillId="0" borderId="0" xfId="1" applyFont="1" applyAlignment="1">
      <alignment vertical="center"/>
    </xf>
    <xf numFmtId="0" fontId="49" fillId="0" borderId="0" xfId="1" applyFont="1" applyAlignment="1">
      <alignment horizontal="center" vertical="center"/>
    </xf>
    <xf numFmtId="3" fontId="18" fillId="0" borderId="0" xfId="1" applyNumberFormat="1" applyFont="1" applyAlignment="1">
      <alignment horizontal="center" vertical="center"/>
    </xf>
    <xf numFmtId="3" fontId="88" fillId="0" borderId="0" xfId="1" applyNumberFormat="1" applyFont="1" applyAlignment="1">
      <alignment horizontal="center" vertical="center"/>
    </xf>
    <xf numFmtId="3" fontId="88" fillId="16" borderId="0" xfId="1" applyNumberFormat="1" applyFont="1" applyFill="1" applyAlignment="1">
      <alignment horizontal="center" vertical="center"/>
    </xf>
    <xf numFmtId="3" fontId="18" fillId="16" borderId="0" xfId="1" applyNumberFormat="1" applyFont="1" applyFill="1" applyAlignment="1">
      <alignment horizontal="center" vertical="center"/>
    </xf>
    <xf numFmtId="0" fontId="15" fillId="0" borderId="0" xfId="0" applyFont="1" applyAlignment="1">
      <alignment horizontal="left" vertical="top"/>
    </xf>
    <xf numFmtId="0" fontId="38" fillId="0" borderId="5" xfId="0" applyFont="1" applyBorder="1" applyAlignment="1">
      <alignment horizontal="left" vertical="top"/>
    </xf>
    <xf numFmtId="0" fontId="26" fillId="0" borderId="4" xfId="0" applyFont="1" applyBorder="1" applyAlignment="1">
      <alignment horizontal="left" vertical="top"/>
    </xf>
    <xf numFmtId="0" fontId="26" fillId="0" borderId="6" xfId="0" applyFont="1" applyBorder="1" applyAlignment="1">
      <alignment horizontal="left" vertical="top"/>
    </xf>
    <xf numFmtId="0" fontId="18" fillId="0" borderId="1" xfId="0" applyFont="1" applyBorder="1" applyAlignment="1">
      <alignment horizontal="left" vertical="top"/>
    </xf>
    <xf numFmtId="0" fontId="26" fillId="0" borderId="0" xfId="0" applyFont="1" applyAlignment="1">
      <alignment horizontal="left" vertical="top"/>
    </xf>
    <xf numFmtId="0" fontId="26" fillId="0" borderId="2" xfId="0" applyFont="1" applyBorder="1" applyAlignment="1">
      <alignment horizontal="left" vertical="top"/>
    </xf>
    <xf numFmtId="0" fontId="38" fillId="0" borderId="1" xfId="0" applyFont="1" applyBorder="1" applyAlignment="1">
      <alignment horizontal="left" vertical="top"/>
    </xf>
    <xf numFmtId="0" fontId="26" fillId="0" borderId="1" xfId="0" applyFont="1" applyBorder="1" applyAlignment="1">
      <alignment horizontal="left" vertical="top"/>
    </xf>
    <xf numFmtId="0" fontId="37" fillId="0" borderId="1" xfId="0" applyFont="1" applyBorder="1" applyAlignment="1">
      <alignment horizontal="left" vertical="top"/>
    </xf>
    <xf numFmtId="0" fontId="37" fillId="0" borderId="8" xfId="0" applyFont="1" applyBorder="1" applyAlignment="1">
      <alignment horizontal="left" vertical="top"/>
    </xf>
    <xf numFmtId="0" fontId="26" fillId="0" borderId="7" xfId="0" applyFont="1" applyBorder="1" applyAlignment="1">
      <alignment horizontal="left" vertical="top"/>
    </xf>
    <xf numFmtId="0" fontId="26" fillId="0" borderId="9" xfId="0" applyFont="1" applyBorder="1" applyAlignment="1">
      <alignment horizontal="left" vertical="top"/>
    </xf>
    <xf numFmtId="0" fontId="18" fillId="0" borderId="0" xfId="0" applyFont="1" applyAlignment="1">
      <alignment horizontal="right" vertical="center"/>
    </xf>
    <xf numFmtId="0" fontId="18" fillId="0" borderId="0" xfId="0" applyFont="1" applyAlignment="1">
      <alignment horizontal="left" vertical="center"/>
    </xf>
    <xf numFmtId="0" fontId="37" fillId="0" borderId="0" xfId="0" applyFont="1"/>
    <xf numFmtId="0" fontId="17" fillId="24" borderId="0" xfId="0" applyFont="1" applyFill="1" applyAlignment="1">
      <alignment horizontal="left" vertical="top"/>
    </xf>
    <xf numFmtId="0" fontId="18" fillId="24" borderId="0" xfId="0" applyFont="1" applyFill="1" applyAlignment="1">
      <alignment horizontal="left" vertical="top"/>
    </xf>
    <xf numFmtId="0" fontId="18" fillId="24" borderId="50" xfId="0" applyFont="1" applyFill="1" applyBorder="1" applyAlignment="1">
      <alignment horizontal="right" vertical="center"/>
    </xf>
    <xf numFmtId="0" fontId="18" fillId="24" borderId="15" xfId="0" applyFont="1" applyFill="1" applyBorder="1" applyAlignment="1">
      <alignment horizontal="left" vertical="top"/>
    </xf>
    <xf numFmtId="0" fontId="18" fillId="24" borderId="15" xfId="0" applyFont="1" applyFill="1" applyBorder="1" applyAlignment="1">
      <alignment horizontal="right" vertical="center"/>
    </xf>
    <xf numFmtId="0" fontId="18" fillId="24" borderId="51" xfId="0" applyFont="1" applyFill="1" applyBorder="1" applyAlignment="1">
      <alignment horizontal="left" vertical="top"/>
    </xf>
    <xf numFmtId="0" fontId="18" fillId="24" borderId="1" xfId="0" applyFont="1" applyFill="1" applyBorder="1" applyAlignment="1">
      <alignment horizontal="right" vertical="center"/>
    </xf>
    <xf numFmtId="0" fontId="18" fillId="24" borderId="0" xfId="0" applyFont="1" applyFill="1" applyAlignment="1">
      <alignment horizontal="right" vertical="center"/>
    </xf>
    <xf numFmtId="0" fontId="18" fillId="24" borderId="0" xfId="0" applyFont="1" applyFill="1" applyAlignment="1">
      <alignment horizontal="left" vertical="center"/>
    </xf>
    <xf numFmtId="0" fontId="18" fillId="24" borderId="2" xfId="0" applyFont="1" applyFill="1" applyBorder="1" applyAlignment="1">
      <alignment horizontal="left" vertical="top"/>
    </xf>
    <xf numFmtId="0" fontId="18" fillId="24" borderId="8" xfId="0" applyFont="1" applyFill="1" applyBorder="1" applyAlignment="1">
      <alignment horizontal="right" vertical="center"/>
    </xf>
    <xf numFmtId="0" fontId="18" fillId="24" borderId="7" xfId="0" applyFont="1" applyFill="1" applyBorder="1" applyAlignment="1">
      <alignment horizontal="left" vertical="top"/>
    </xf>
    <xf numFmtId="0" fontId="18" fillId="24" borderId="7" xfId="0" applyFont="1" applyFill="1" applyBorder="1" applyAlignment="1">
      <alignment horizontal="right" vertical="center"/>
    </xf>
    <xf numFmtId="0" fontId="18" fillId="24" borderId="7" xfId="0" applyFont="1" applyFill="1" applyBorder="1" applyAlignment="1">
      <alignment horizontal="left" vertical="center"/>
    </xf>
    <xf numFmtId="0" fontId="18" fillId="24" borderId="9" xfId="0" applyFont="1" applyFill="1" applyBorder="1" applyAlignment="1">
      <alignment horizontal="left" vertical="top"/>
    </xf>
    <xf numFmtId="0" fontId="17" fillId="15" borderId="0" xfId="0" applyFont="1" applyFill="1" applyAlignment="1">
      <alignment horizontal="left" vertical="top"/>
    </xf>
    <xf numFmtId="0" fontId="18" fillId="15" borderId="0" xfId="0" applyFont="1" applyFill="1" applyAlignment="1">
      <alignment horizontal="left" vertical="top"/>
    </xf>
    <xf numFmtId="0" fontId="18" fillId="15" borderId="0" xfId="0" applyFont="1" applyFill="1" applyAlignment="1">
      <alignment horizontal="right" vertical="center"/>
    </xf>
    <xf numFmtId="0" fontId="18" fillId="15" borderId="50" xfId="0" applyFont="1" applyFill="1" applyBorder="1" applyAlignment="1">
      <alignment horizontal="right" vertical="center"/>
    </xf>
    <xf numFmtId="0" fontId="18" fillId="15" borderId="15" xfId="0" applyFont="1" applyFill="1" applyBorder="1" applyAlignment="1">
      <alignment horizontal="left" vertical="top"/>
    </xf>
    <xf numFmtId="0" fontId="18" fillId="15" borderId="15" xfId="0" applyFont="1" applyFill="1" applyBorder="1" applyAlignment="1">
      <alignment horizontal="right" vertical="center"/>
    </xf>
    <xf numFmtId="0" fontId="18" fillId="15" borderId="51" xfId="0" applyFont="1" applyFill="1" applyBorder="1" applyAlignment="1">
      <alignment horizontal="left" vertical="top"/>
    </xf>
    <xf numFmtId="0" fontId="18" fillId="15" borderId="1" xfId="0" applyFont="1" applyFill="1" applyBorder="1" applyAlignment="1">
      <alignment horizontal="right" vertical="center"/>
    </xf>
    <xf numFmtId="0" fontId="18" fillId="15" borderId="0" xfId="0" applyFont="1" applyFill="1" applyAlignment="1">
      <alignment horizontal="left" vertical="center"/>
    </xf>
    <xf numFmtId="0" fontId="18" fillId="15" borderId="2" xfId="0" applyFont="1" applyFill="1" applyBorder="1" applyAlignment="1">
      <alignment horizontal="left" vertical="top"/>
    </xf>
    <xf numFmtId="0" fontId="18" fillId="15" borderId="8" xfId="0" applyFont="1" applyFill="1" applyBorder="1" applyAlignment="1">
      <alignment horizontal="right" vertical="center"/>
    </xf>
    <xf numFmtId="0" fontId="18" fillId="15" borderId="7" xfId="0" applyFont="1" applyFill="1" applyBorder="1" applyAlignment="1">
      <alignment horizontal="left" vertical="top"/>
    </xf>
    <xf numFmtId="0" fontId="18" fillId="15" borderId="7" xfId="0" applyFont="1" applyFill="1" applyBorder="1" applyAlignment="1">
      <alignment horizontal="right" vertical="center"/>
    </xf>
    <xf numFmtId="0" fontId="18" fillId="15" borderId="7" xfId="0" applyFont="1" applyFill="1" applyBorder="1" applyAlignment="1">
      <alignment horizontal="left" vertical="center"/>
    </xf>
    <xf numFmtId="0" fontId="18" fillId="15" borderId="9" xfId="0" applyFont="1" applyFill="1" applyBorder="1" applyAlignment="1">
      <alignment horizontal="left" vertical="top"/>
    </xf>
    <xf numFmtId="0" fontId="17" fillId="14" borderId="0" xfId="0" applyFont="1" applyFill="1" applyAlignment="1">
      <alignment horizontal="left" vertical="top"/>
    </xf>
    <xf numFmtId="0" fontId="18" fillId="14" borderId="0" xfId="0" applyFont="1" applyFill="1" applyAlignment="1">
      <alignment horizontal="left" vertical="top"/>
    </xf>
    <xf numFmtId="0" fontId="18" fillId="14" borderId="0" xfId="0" applyFont="1" applyFill="1" applyAlignment="1">
      <alignment horizontal="right" vertical="center"/>
    </xf>
    <xf numFmtId="0" fontId="18" fillId="14" borderId="50" xfId="0" applyFont="1" applyFill="1" applyBorder="1" applyAlignment="1">
      <alignment horizontal="right" vertical="center"/>
    </xf>
    <xf numFmtId="0" fontId="18" fillId="14" borderId="15" xfId="0" applyFont="1" applyFill="1" applyBorder="1" applyAlignment="1">
      <alignment horizontal="left" vertical="top"/>
    </xf>
    <xf numFmtId="0" fontId="18" fillId="14" borderId="15" xfId="0" applyFont="1" applyFill="1" applyBorder="1" applyAlignment="1">
      <alignment horizontal="right" vertical="center"/>
    </xf>
    <xf numFmtId="0" fontId="18" fillId="14" borderId="51" xfId="0" applyFont="1" applyFill="1" applyBorder="1" applyAlignment="1">
      <alignment horizontal="left" vertical="top"/>
    </xf>
    <xf numFmtId="0" fontId="18" fillId="14" borderId="1" xfId="0" applyFont="1" applyFill="1" applyBorder="1" applyAlignment="1">
      <alignment horizontal="right" vertical="center"/>
    </xf>
    <xf numFmtId="0" fontId="18" fillId="14" borderId="0" xfId="0" applyFont="1" applyFill="1" applyAlignment="1">
      <alignment horizontal="left" vertical="center"/>
    </xf>
    <xf numFmtId="0" fontId="18" fillId="14" borderId="2" xfId="0" applyFont="1" applyFill="1" applyBorder="1" applyAlignment="1">
      <alignment horizontal="left" vertical="top"/>
    </xf>
    <xf numFmtId="0" fontId="18" fillId="14" borderId="8" xfId="0" applyFont="1" applyFill="1" applyBorder="1" applyAlignment="1">
      <alignment horizontal="right" vertical="center"/>
    </xf>
    <xf numFmtId="0" fontId="18" fillId="14" borderId="7" xfId="0" applyFont="1" applyFill="1" applyBorder="1" applyAlignment="1">
      <alignment horizontal="left" vertical="top"/>
    </xf>
    <xf numFmtId="0" fontId="18" fillId="14" borderId="7" xfId="0" applyFont="1" applyFill="1" applyBorder="1" applyAlignment="1">
      <alignment horizontal="right" vertical="center"/>
    </xf>
    <xf numFmtId="0" fontId="26" fillId="14" borderId="7" xfId="0" applyFont="1" applyFill="1" applyBorder="1"/>
    <xf numFmtId="0" fontId="26" fillId="14" borderId="9" xfId="0" applyFont="1" applyFill="1" applyBorder="1"/>
    <xf numFmtId="0" fontId="20" fillId="0" borderId="0" xfId="1" applyFont="1"/>
    <xf numFmtId="0" fontId="18" fillId="0" borderId="0" xfId="1" applyFont="1"/>
    <xf numFmtId="0" fontId="105" fillId="0" borderId="0" xfId="1" applyFont="1"/>
    <xf numFmtId="0" fontId="18" fillId="0" borderId="14" xfId="1" applyFont="1" applyBorder="1"/>
    <xf numFmtId="0" fontId="37" fillId="0" borderId="14" xfId="1" applyFont="1" applyBorder="1"/>
    <xf numFmtId="0" fontId="17" fillId="3" borderId="0" xfId="1" applyFont="1" applyFill="1"/>
    <xf numFmtId="0" fontId="17" fillId="4" borderId="14" xfId="1" applyFont="1" applyFill="1" applyBorder="1"/>
    <xf numFmtId="0" fontId="17" fillId="29" borderId="14" xfId="1" applyFont="1" applyFill="1" applyBorder="1"/>
    <xf numFmtId="0" fontId="17" fillId="3" borderId="0" xfId="1" applyFont="1" applyFill="1" applyAlignment="1">
      <alignment horizontal="center"/>
    </xf>
    <xf numFmtId="0" fontId="23" fillId="0" borderId="9" xfId="0" applyFont="1" applyBorder="1" applyAlignment="1">
      <alignment horizontal="right" vertical="center"/>
    </xf>
    <xf numFmtId="0" fontId="23" fillId="0" borderId="15" xfId="0" applyFont="1" applyBorder="1"/>
    <xf numFmtId="0" fontId="68" fillId="16" borderId="29" xfId="0" applyFont="1" applyFill="1" applyBorder="1" applyAlignment="1">
      <alignment horizontal="right"/>
    </xf>
    <xf numFmtId="0" fontId="68" fillId="16" borderId="31" xfId="0" applyFont="1" applyFill="1" applyBorder="1" applyAlignment="1">
      <alignment horizontal="right"/>
    </xf>
    <xf numFmtId="0" fontId="68" fillId="16" borderId="33" xfId="0" applyFont="1" applyFill="1" applyBorder="1" applyAlignment="1">
      <alignment horizontal="right"/>
    </xf>
    <xf numFmtId="0" fontId="71" fillId="16" borderId="29" xfId="0" applyFont="1" applyFill="1" applyBorder="1" applyAlignment="1">
      <alignment horizontal="right"/>
    </xf>
    <xf numFmtId="0" fontId="71" fillId="16" borderId="31" xfId="0" applyFont="1" applyFill="1" applyBorder="1" applyAlignment="1">
      <alignment horizontal="right"/>
    </xf>
    <xf numFmtId="0" fontId="71" fillId="16" borderId="33" xfId="0" applyFont="1" applyFill="1" applyBorder="1" applyAlignment="1">
      <alignment horizontal="right"/>
    </xf>
    <xf numFmtId="0" fontId="36" fillId="16" borderId="29" xfId="0" applyFont="1" applyFill="1" applyBorder="1" applyAlignment="1">
      <alignment horizontal="right"/>
    </xf>
    <xf numFmtId="0" fontId="36" fillId="16" borderId="31" xfId="0" applyFont="1" applyFill="1" applyBorder="1" applyAlignment="1">
      <alignment horizontal="right"/>
    </xf>
    <xf numFmtId="0" fontId="36" fillId="16" borderId="33" xfId="0" applyFont="1" applyFill="1" applyBorder="1" applyAlignment="1">
      <alignment horizontal="right"/>
    </xf>
    <xf numFmtId="0" fontId="17" fillId="30" borderId="4" xfId="0" applyFont="1" applyFill="1" applyBorder="1"/>
    <xf numFmtId="0" fontId="18" fillId="30" borderId="4" xfId="0" applyFont="1" applyFill="1" applyBorder="1" applyAlignment="1">
      <alignment horizontal="right"/>
    </xf>
    <xf numFmtId="0" fontId="17" fillId="30" borderId="14" xfId="0" applyFont="1" applyFill="1" applyBorder="1"/>
    <xf numFmtId="0" fontId="17" fillId="30" borderId="5" xfId="0" applyFont="1" applyFill="1" applyBorder="1"/>
    <xf numFmtId="0" fontId="106" fillId="0" borderId="0" xfId="0" applyFont="1" applyAlignment="1">
      <alignment horizontal="left"/>
    </xf>
    <xf numFmtId="0" fontId="47" fillId="0" borderId="11" xfId="0" applyFont="1" applyBorder="1"/>
    <xf numFmtId="0" fontId="79" fillId="0" borderId="0" xfId="0" applyFont="1"/>
    <xf numFmtId="0" fontId="79" fillId="0" borderId="11" xfId="0" applyFont="1" applyBorder="1"/>
    <xf numFmtId="0" fontId="20" fillId="0" borderId="0" xfId="0" applyFont="1"/>
    <xf numFmtId="0" fontId="15" fillId="0" borderId="0" xfId="0" applyFont="1" applyAlignment="1">
      <alignment horizontal="center" vertical="center"/>
    </xf>
    <xf numFmtId="0" fontId="2" fillId="2" borderId="54" xfId="0" applyFont="1" applyFill="1" applyBorder="1"/>
    <xf numFmtId="0" fontId="2" fillId="2" borderId="55" xfId="0" applyFont="1" applyFill="1" applyBorder="1"/>
    <xf numFmtId="0" fontId="2" fillId="2" borderId="46" xfId="0" applyFont="1" applyFill="1" applyBorder="1" applyAlignment="1">
      <alignment horizontal="left"/>
    </xf>
    <xf numFmtId="0" fontId="38" fillId="0" borderId="55" xfId="0" applyFont="1" applyBorder="1" applyAlignment="1">
      <alignment horizontal="center" vertical="center"/>
    </xf>
    <xf numFmtId="0" fontId="38" fillId="0" borderId="57" xfId="0" applyFont="1" applyBorder="1" applyAlignment="1">
      <alignment horizontal="center" vertical="center"/>
    </xf>
    <xf numFmtId="0" fontId="18" fillId="24" borderId="58" xfId="0" applyFont="1" applyFill="1" applyBorder="1" applyAlignment="1">
      <alignment vertical="center"/>
    </xf>
    <xf numFmtId="0" fontId="18" fillId="0" borderId="59" xfId="0" applyFont="1" applyBorder="1" applyAlignment="1">
      <alignment vertical="center"/>
    </xf>
    <xf numFmtId="0" fontId="18" fillId="24" borderId="59" xfId="0" applyFont="1" applyFill="1" applyBorder="1" applyAlignment="1">
      <alignment vertical="center"/>
    </xf>
    <xf numFmtId="0" fontId="18" fillId="24" borderId="60" xfId="0" applyFont="1" applyFill="1" applyBorder="1" applyAlignment="1">
      <alignment vertical="center"/>
    </xf>
    <xf numFmtId="0" fontId="18" fillId="0" borderId="61" xfId="0" applyFont="1" applyBorder="1" applyAlignment="1">
      <alignment vertical="center"/>
    </xf>
    <xf numFmtId="0" fontId="18" fillId="24" borderId="61" xfId="0" applyFont="1" applyFill="1" applyBorder="1" applyAlignment="1">
      <alignment vertical="center"/>
    </xf>
    <xf numFmtId="0" fontId="47" fillId="0" borderId="7" xfId="0" applyFont="1" applyBorder="1" applyAlignment="1">
      <alignment horizontal="right" vertical="center"/>
    </xf>
    <xf numFmtId="0" fontId="47" fillId="0" borderId="9" xfId="0" applyFont="1" applyBorder="1" applyAlignment="1">
      <alignment horizontal="right" vertical="center"/>
    </xf>
    <xf numFmtId="0" fontId="18" fillId="2" borderId="62" xfId="0" applyFont="1" applyFill="1" applyBorder="1" applyAlignment="1">
      <alignment vertical="center"/>
    </xf>
    <xf numFmtId="0" fontId="18" fillId="2" borderId="55" xfId="0" applyFont="1" applyFill="1" applyBorder="1" applyAlignment="1">
      <alignment vertical="center"/>
    </xf>
    <xf numFmtId="0" fontId="88" fillId="0" borderId="59" xfId="2" applyFont="1" applyBorder="1" applyAlignment="1" applyProtection="1">
      <alignment horizontal="center" vertical="center"/>
      <protection locked="0"/>
    </xf>
    <xf numFmtId="0" fontId="88" fillId="0" borderId="61" xfId="2" applyFont="1" applyBorder="1" applyAlignment="1" applyProtection="1">
      <alignment horizontal="center" vertical="center"/>
      <protection locked="0"/>
    </xf>
    <xf numFmtId="0" fontId="88" fillId="24" borderId="63" xfId="2" applyFont="1" applyFill="1" applyBorder="1" applyAlignment="1" applyProtection="1">
      <alignment vertical="center"/>
      <protection locked="0"/>
    </xf>
    <xf numFmtId="0" fontId="88" fillId="0" borderId="65" xfId="2" applyFont="1" applyBorder="1" applyAlignment="1" applyProtection="1">
      <alignment vertical="center"/>
      <protection locked="0"/>
    </xf>
    <xf numFmtId="0" fontId="18" fillId="24" borderId="65" xfId="2" applyFont="1" applyFill="1" applyBorder="1" applyAlignment="1" applyProtection="1">
      <alignment vertical="center"/>
      <protection locked="0"/>
    </xf>
    <xf numFmtId="0" fontId="18" fillId="24" borderId="63" xfId="2" applyFont="1" applyFill="1" applyBorder="1" applyAlignment="1" applyProtection="1">
      <alignment vertical="center"/>
      <protection locked="0"/>
    </xf>
    <xf numFmtId="0" fontId="18" fillId="0" borderId="66" xfId="2" applyFont="1" applyBorder="1" applyAlignment="1" applyProtection="1">
      <alignment vertical="center"/>
      <protection locked="0"/>
    </xf>
    <xf numFmtId="0" fontId="88" fillId="24" borderId="66" xfId="2" applyFont="1" applyFill="1" applyBorder="1" applyAlignment="1" applyProtection="1">
      <alignment vertical="center"/>
      <protection locked="0"/>
    </xf>
    <xf numFmtId="0" fontId="18" fillId="2" borderId="66" xfId="2" applyFont="1" applyFill="1" applyBorder="1" applyAlignment="1" applyProtection="1">
      <alignment vertical="center"/>
      <protection locked="0"/>
    </xf>
    <xf numFmtId="0" fontId="38" fillId="0" borderId="67" xfId="0" applyFont="1" applyBorder="1" applyAlignment="1">
      <alignment horizontal="center" vertical="center"/>
    </xf>
    <xf numFmtId="0" fontId="23" fillId="0" borderId="69" xfId="0" applyFont="1" applyBorder="1"/>
    <xf numFmtId="0" fontId="23" fillId="0" borderId="70" xfId="0" applyFont="1" applyBorder="1"/>
    <xf numFmtId="0" fontId="23" fillId="0" borderId="68" xfId="0" applyFont="1" applyBorder="1"/>
    <xf numFmtId="0" fontId="12" fillId="3" borderId="53" xfId="0" applyFont="1" applyFill="1" applyBorder="1"/>
    <xf numFmtId="0" fontId="12" fillId="3" borderId="71" xfId="0" applyFont="1" applyFill="1" applyBorder="1"/>
    <xf numFmtId="0" fontId="23" fillId="0" borderId="72" xfId="0" applyFont="1" applyBorder="1" applyAlignment="1">
      <alignment horizontal="right" vertical="center"/>
    </xf>
    <xf numFmtId="0" fontId="23" fillId="0" borderId="70" xfId="0" applyFont="1" applyBorder="1" applyAlignment="1">
      <alignment horizontal="right" vertical="center"/>
    </xf>
    <xf numFmtId="0" fontId="23" fillId="0" borderId="74" xfId="0" applyFont="1" applyBorder="1"/>
    <xf numFmtId="0" fontId="23" fillId="0" borderId="73" xfId="0" applyFont="1" applyBorder="1"/>
    <xf numFmtId="0" fontId="23" fillId="0" borderId="56" xfId="0" applyFont="1" applyBorder="1" applyAlignment="1">
      <alignment horizontal="right" vertical="center"/>
    </xf>
    <xf numFmtId="0" fontId="23" fillId="0" borderId="75" xfId="0" applyFont="1" applyBorder="1" applyAlignment="1">
      <alignment horizontal="right" vertical="center"/>
    </xf>
    <xf numFmtId="0" fontId="88" fillId="30" borderId="54" xfId="2" applyFont="1" applyFill="1" applyBorder="1" applyAlignment="1" applyProtection="1">
      <alignment horizontal="center" vertical="center"/>
      <protection locked="0"/>
    </xf>
    <xf numFmtId="0" fontId="88" fillId="30" borderId="59" xfId="2" applyFont="1" applyFill="1" applyBorder="1" applyAlignment="1" applyProtection="1">
      <alignment horizontal="center" vertical="center"/>
      <protection locked="0"/>
    </xf>
    <xf numFmtId="0" fontId="88" fillId="30" borderId="60" xfId="2" applyFont="1" applyFill="1" applyBorder="1" applyAlignment="1" applyProtection="1">
      <alignment horizontal="center" vertical="center"/>
      <protection locked="0"/>
    </xf>
    <xf numFmtId="0" fontId="88" fillId="30" borderId="61" xfId="2" applyFont="1" applyFill="1" applyBorder="1" applyAlignment="1" applyProtection="1">
      <alignment horizontal="center" vertical="center"/>
      <protection locked="0"/>
    </xf>
    <xf numFmtId="0" fontId="18" fillId="31" borderId="64" xfId="0" applyFont="1" applyFill="1" applyBorder="1" applyAlignment="1">
      <alignment vertical="center"/>
    </xf>
    <xf numFmtId="0" fontId="18" fillId="0" borderId="0" xfId="3" applyFont="1"/>
    <xf numFmtId="0" fontId="18" fillId="0" borderId="0" xfId="1" applyFont="1" applyAlignment="1">
      <alignment vertical="top"/>
    </xf>
    <xf numFmtId="0" fontId="18" fillId="0" borderId="79" xfId="1" applyFont="1" applyBorder="1"/>
    <xf numFmtId="0" fontId="18" fillId="0" borderId="80" xfId="1" applyFont="1" applyBorder="1"/>
    <xf numFmtId="0" fontId="18" fillId="0" borderId="49" xfId="1" applyFont="1" applyBorder="1"/>
    <xf numFmtId="0" fontId="37" fillId="0" borderId="0" xfId="1" applyFont="1"/>
    <xf numFmtId="0" fontId="41" fillId="0" borderId="0" xfId="1" applyFont="1"/>
    <xf numFmtId="0" fontId="18" fillId="32" borderId="14" xfId="1" applyFont="1" applyFill="1" applyBorder="1" applyAlignment="1">
      <alignment horizontal="center" vertical="center"/>
    </xf>
    <xf numFmtId="0" fontId="19" fillId="0" borderId="0" xfId="1" applyFont="1"/>
    <xf numFmtId="0" fontId="41" fillId="0" borderId="0" xfId="1" applyFont="1" applyAlignment="1">
      <alignment horizontal="center"/>
    </xf>
    <xf numFmtId="0" fontId="17" fillId="0" borderId="80" xfId="1" applyFont="1" applyBorder="1" applyAlignment="1">
      <alignment horizontal="right" vertical="center"/>
    </xf>
    <xf numFmtId="0" fontId="18" fillId="0" borderId="10" xfId="1" applyFont="1" applyBorder="1"/>
    <xf numFmtId="0" fontId="18" fillId="0" borderId="12" xfId="1" applyFont="1" applyBorder="1"/>
    <xf numFmtId="0" fontId="18" fillId="33" borderId="14" xfId="1" applyFont="1" applyFill="1" applyBorder="1" applyAlignment="1">
      <alignment horizontal="center" vertical="center"/>
    </xf>
    <xf numFmtId="0" fontId="18" fillId="2" borderId="14" xfId="1" applyFont="1" applyFill="1" applyBorder="1" applyAlignment="1">
      <alignment horizontal="center" vertical="center"/>
    </xf>
    <xf numFmtId="0" fontId="18" fillId="2" borderId="49" xfId="1" applyFont="1" applyFill="1" applyBorder="1" applyAlignment="1">
      <alignment horizontal="center" vertical="center"/>
    </xf>
    <xf numFmtId="0" fontId="18" fillId="2" borderId="13" xfId="1" applyFont="1" applyFill="1" applyBorder="1" applyAlignment="1">
      <alignment horizontal="center" vertical="center"/>
    </xf>
    <xf numFmtId="0" fontId="18" fillId="2" borderId="10" xfId="1" applyFont="1" applyFill="1" applyBorder="1" applyAlignment="1">
      <alignment horizontal="center" vertical="center"/>
    </xf>
    <xf numFmtId="0" fontId="23" fillId="2" borderId="76" xfId="1" applyFont="1" applyFill="1" applyBorder="1"/>
    <xf numFmtId="0" fontId="18" fillId="2" borderId="0" xfId="1" applyFont="1" applyFill="1"/>
    <xf numFmtId="0" fontId="18" fillId="2" borderId="77" xfId="1" applyFont="1" applyFill="1" applyBorder="1"/>
    <xf numFmtId="0" fontId="18" fillId="2" borderId="78" xfId="1" applyFont="1" applyFill="1" applyBorder="1"/>
    <xf numFmtId="0" fontId="15" fillId="0" borderId="81" xfId="1" applyFont="1" applyBorder="1" applyAlignment="1">
      <alignment vertical="center"/>
    </xf>
    <xf numFmtId="0" fontId="108" fillId="33" borderId="18" xfId="1" applyFont="1" applyFill="1" applyBorder="1"/>
    <xf numFmtId="0" fontId="109" fillId="33" borderId="19" xfId="1" applyFont="1" applyFill="1" applyBorder="1" applyAlignment="1">
      <alignment vertical="top" wrapText="1"/>
    </xf>
    <xf numFmtId="0" fontId="109" fillId="33" borderId="52" xfId="1" applyFont="1" applyFill="1" applyBorder="1" applyAlignment="1">
      <alignment vertical="top" wrapText="1"/>
    </xf>
    <xf numFmtId="0" fontId="108" fillId="33" borderId="22" xfId="1" applyFont="1" applyFill="1" applyBorder="1"/>
    <xf numFmtId="0" fontId="109" fillId="33" borderId="23" xfId="1" applyFont="1" applyFill="1" applyBorder="1"/>
    <xf numFmtId="0" fontId="109" fillId="33" borderId="24" xfId="1" applyFont="1" applyFill="1" applyBorder="1" applyAlignment="1">
      <alignment horizontal="right"/>
    </xf>
    <xf numFmtId="49" fontId="37" fillId="4" borderId="5" xfId="0" applyNumberFormat="1" applyFont="1" applyFill="1" applyBorder="1" applyAlignment="1">
      <alignment horizontal="left"/>
    </xf>
    <xf numFmtId="0" fontId="6" fillId="0" borderId="1" xfId="0" applyFont="1" applyBorder="1"/>
    <xf numFmtId="0" fontId="2" fillId="0" borderId="13" xfId="0" applyFont="1" applyBorder="1" applyAlignment="1">
      <alignment horizontal="right"/>
    </xf>
    <xf numFmtId="0" fontId="18" fillId="3" borderId="5" xfId="1" applyFont="1" applyFill="1" applyBorder="1"/>
    <xf numFmtId="0" fontId="37" fillId="3" borderId="1" xfId="1" applyFont="1" applyFill="1" applyBorder="1"/>
    <xf numFmtId="0" fontId="18" fillId="3" borderId="1" xfId="1" applyFont="1" applyFill="1" applyBorder="1"/>
    <xf numFmtId="0" fontId="18" fillId="4" borderId="1" xfId="1" applyFont="1" applyFill="1" applyBorder="1"/>
    <xf numFmtId="0" fontId="37" fillId="4" borderId="1" xfId="1" applyFont="1" applyFill="1" applyBorder="1"/>
    <xf numFmtId="0" fontId="18" fillId="5" borderId="1" xfId="1" applyFont="1" applyFill="1" applyBorder="1"/>
    <xf numFmtId="0" fontId="37" fillId="5" borderId="1" xfId="1" applyFont="1" applyFill="1" applyBorder="1"/>
    <xf numFmtId="0" fontId="18" fillId="3" borderId="6" xfId="1" applyFont="1" applyFill="1" applyBorder="1"/>
    <xf numFmtId="0" fontId="18" fillId="3" borderId="2" xfId="1" applyFont="1" applyFill="1" applyBorder="1"/>
    <xf numFmtId="0" fontId="18" fillId="4" borderId="2" xfId="1" applyFont="1" applyFill="1" applyBorder="1"/>
    <xf numFmtId="0" fontId="18" fillId="5" borderId="2" xfId="1" applyFont="1" applyFill="1" applyBorder="1"/>
    <xf numFmtId="0" fontId="18" fillId="0" borderId="0" xfId="1" applyFont="1" applyAlignment="1">
      <alignment horizontal="center"/>
    </xf>
    <xf numFmtId="0" fontId="18" fillId="3" borderId="6" xfId="1" applyFont="1" applyFill="1" applyBorder="1" applyAlignment="1">
      <alignment horizontal="center"/>
    </xf>
    <xf numFmtId="0" fontId="18" fillId="5" borderId="2" xfId="1" applyFont="1" applyFill="1" applyBorder="1" applyAlignment="1">
      <alignment horizontal="center"/>
    </xf>
    <xf numFmtId="0" fontId="37" fillId="3" borderId="12" xfId="1" applyFont="1" applyFill="1" applyBorder="1"/>
    <xf numFmtId="0" fontId="18" fillId="3" borderId="13" xfId="1" applyFont="1" applyFill="1" applyBorder="1"/>
    <xf numFmtId="0" fontId="18" fillId="3" borderId="13" xfId="1" applyFont="1" applyFill="1" applyBorder="1" applyAlignment="1">
      <alignment horizontal="center"/>
    </xf>
    <xf numFmtId="0" fontId="18" fillId="3" borderId="12" xfId="1" applyFont="1" applyFill="1" applyBorder="1"/>
    <xf numFmtId="0" fontId="18" fillId="4" borderId="12" xfId="1" applyFont="1" applyFill="1" applyBorder="1"/>
    <xf numFmtId="0" fontId="18" fillId="4" borderId="13" xfId="1" applyFont="1" applyFill="1" applyBorder="1"/>
    <xf numFmtId="0" fontId="18" fillId="4" borderId="13" xfId="1" applyFont="1" applyFill="1" applyBorder="1" applyAlignment="1">
      <alignment horizontal="center"/>
    </xf>
    <xf numFmtId="0" fontId="18" fillId="5" borderId="12" xfId="1" applyFont="1" applyFill="1" applyBorder="1"/>
    <xf numFmtId="0" fontId="18" fillId="5" borderId="13" xfId="1" applyFont="1" applyFill="1" applyBorder="1"/>
    <xf numFmtId="0" fontId="18" fillId="5" borderId="13" xfId="1" applyFont="1" applyFill="1" applyBorder="1" applyAlignment="1">
      <alignment horizontal="center"/>
    </xf>
    <xf numFmtId="0" fontId="37" fillId="5" borderId="12" xfId="1" applyFont="1" applyFill="1" applyBorder="1"/>
    <xf numFmtId="0" fontId="18" fillId="4" borderId="6" xfId="1" applyFont="1" applyFill="1" applyBorder="1" applyAlignment="1">
      <alignment horizontal="center"/>
    </xf>
    <xf numFmtId="0" fontId="18" fillId="5" borderId="14" xfId="1" applyFont="1" applyFill="1" applyBorder="1" applyAlignment="1">
      <alignment horizontal="center"/>
    </xf>
    <xf numFmtId="0" fontId="6" fillId="4" borderId="8" xfId="0" applyFont="1" applyFill="1" applyBorder="1"/>
    <xf numFmtId="0" fontId="6" fillId="4" borderId="11" xfId="0" applyFont="1" applyFill="1" applyBorder="1"/>
    <xf numFmtId="0" fontId="2" fillId="4" borderId="7" xfId="0" applyFont="1" applyFill="1" applyBorder="1"/>
    <xf numFmtId="0" fontId="2" fillId="4" borderId="11" xfId="0" applyFont="1" applyFill="1" applyBorder="1"/>
    <xf numFmtId="0" fontId="6" fillId="5" borderId="11" xfId="0" applyFont="1" applyFill="1" applyBorder="1"/>
    <xf numFmtId="0" fontId="2" fillId="3" borderId="83" xfId="0" applyFont="1" applyFill="1" applyBorder="1"/>
    <xf numFmtId="0" fontId="2" fillId="3" borderId="84" xfId="0" applyFont="1" applyFill="1" applyBorder="1"/>
    <xf numFmtId="0" fontId="2" fillId="5" borderId="7" xfId="0" applyFont="1" applyFill="1" applyBorder="1" applyAlignment="1">
      <alignment horizontal="right"/>
    </xf>
    <xf numFmtId="0" fontId="15" fillId="2" borderId="86" xfId="0" applyFont="1" applyFill="1" applyBorder="1" applyAlignment="1">
      <alignment horizontal="center"/>
    </xf>
    <xf numFmtId="0" fontId="2" fillId="0" borderId="85" xfId="0" applyFont="1" applyBorder="1"/>
    <xf numFmtId="0" fontId="15" fillId="2" borderId="87" xfId="0" applyFont="1" applyFill="1" applyBorder="1" applyAlignment="1">
      <alignment horizontal="right"/>
    </xf>
    <xf numFmtId="0" fontId="20" fillId="2" borderId="87" xfId="0" applyFont="1" applyFill="1" applyBorder="1" applyAlignment="1">
      <alignment horizontal="right"/>
    </xf>
    <xf numFmtId="0" fontId="2" fillId="2" borderId="88" xfId="0" applyFont="1" applyFill="1" applyBorder="1"/>
    <xf numFmtId="0" fontId="2" fillId="0" borderId="89" xfId="0" applyFont="1" applyBorder="1"/>
    <xf numFmtId="0" fontId="2" fillId="0" borderId="90" xfId="0" applyFont="1" applyBorder="1"/>
    <xf numFmtId="0" fontId="2" fillId="0" borderId="91" xfId="0" applyFont="1" applyBorder="1"/>
    <xf numFmtId="0" fontId="15" fillId="2" borderId="92" xfId="0" applyFont="1" applyFill="1" applyBorder="1" applyAlignment="1">
      <alignment horizontal="right"/>
    </xf>
    <xf numFmtId="0" fontId="18" fillId="17" borderId="49" xfId="0" applyFont="1" applyFill="1" applyBorder="1"/>
    <xf numFmtId="0" fontId="18" fillId="17" borderId="5" xfId="0" applyFont="1" applyFill="1" applyBorder="1" applyAlignment="1">
      <alignment horizontal="center"/>
    </xf>
    <xf numFmtId="0" fontId="71" fillId="15" borderId="104" xfId="0" applyFont="1" applyFill="1" applyBorder="1" applyAlignment="1">
      <alignment horizontal="center"/>
    </xf>
    <xf numFmtId="0" fontId="18" fillId="17" borderId="109" xfId="0" applyFont="1" applyFill="1" applyBorder="1"/>
    <xf numFmtId="0" fontId="36" fillId="17" borderId="110" xfId="0" applyFont="1" applyFill="1" applyBorder="1"/>
    <xf numFmtId="0" fontId="36" fillId="17" borderId="111" xfId="0" applyFont="1" applyFill="1" applyBorder="1"/>
    <xf numFmtId="0" fontId="36" fillId="17" borderId="112" xfId="0" applyFont="1" applyFill="1" applyBorder="1"/>
    <xf numFmtId="0" fontId="36" fillId="17" borderId="113" xfId="0" applyFont="1" applyFill="1" applyBorder="1" applyAlignment="1">
      <alignment horizontal="center"/>
    </xf>
    <xf numFmtId="0" fontId="18" fillId="17" borderId="114" xfId="0" applyFont="1" applyFill="1" applyBorder="1"/>
    <xf numFmtId="0" fontId="36" fillId="17" borderId="115" xfId="0" applyFont="1" applyFill="1" applyBorder="1" applyAlignment="1">
      <alignment horizontal="center"/>
    </xf>
    <xf numFmtId="0" fontId="18" fillId="17" borderId="116" xfId="0" applyFont="1" applyFill="1" applyBorder="1"/>
    <xf numFmtId="0" fontId="36" fillId="17" borderId="117" xfId="0" applyFont="1" applyFill="1" applyBorder="1"/>
    <xf numFmtId="0" fontId="36" fillId="17" borderId="102" xfId="0" applyFont="1" applyFill="1" applyBorder="1"/>
    <xf numFmtId="0" fontId="36" fillId="17" borderId="118" xfId="0" applyFont="1" applyFill="1" applyBorder="1"/>
    <xf numFmtId="0" fontId="36" fillId="17" borderId="119" xfId="0" applyFont="1" applyFill="1" applyBorder="1" applyAlignment="1">
      <alignment horizontal="center"/>
    </xf>
    <xf numFmtId="0" fontId="49" fillId="0" borderId="0" xfId="1" applyFont="1"/>
    <xf numFmtId="0" fontId="49" fillId="0" borderId="18" xfId="1" applyFont="1" applyBorder="1"/>
    <xf numFmtId="0" fontId="47" fillId="0" borderId="19" xfId="1" applyFont="1" applyBorder="1"/>
    <xf numFmtId="0" fontId="49" fillId="0" borderId="19" xfId="1" applyFont="1" applyBorder="1"/>
    <xf numFmtId="0" fontId="49" fillId="0" borderId="122" xfId="1" applyFont="1" applyBorder="1"/>
    <xf numFmtId="0" fontId="49" fillId="0" borderId="123" xfId="1" applyFont="1" applyBorder="1"/>
    <xf numFmtId="0" fontId="49" fillId="0" borderId="4" xfId="1" applyFont="1" applyBorder="1"/>
    <xf numFmtId="0" fontId="49" fillId="0" borderId="11" xfId="1" applyFont="1" applyBorder="1" applyAlignment="1">
      <alignment horizontal="left"/>
    </xf>
    <xf numFmtId="0" fontId="49" fillId="0" borderId="5" xfId="1" applyFont="1" applyBorder="1"/>
    <xf numFmtId="0" fontId="49" fillId="0" borderId="11" xfId="1" applyFont="1" applyBorder="1"/>
    <xf numFmtId="0" fontId="49" fillId="0" borderId="125" xfId="1" applyFont="1" applyBorder="1"/>
    <xf numFmtId="0" fontId="49" fillId="0" borderId="126" xfId="1" applyFont="1" applyBorder="1"/>
    <xf numFmtId="0" fontId="49" fillId="0" borderId="127" xfId="1" applyFont="1" applyBorder="1"/>
    <xf numFmtId="0" fontId="49" fillId="0" borderId="8" xfId="1" applyFont="1" applyBorder="1"/>
    <xf numFmtId="0" fontId="49" fillId="0" borderId="7" xfId="1" applyFont="1" applyBorder="1"/>
    <xf numFmtId="0" fontId="49" fillId="0" borderId="124" xfId="1" applyFont="1" applyBorder="1"/>
    <xf numFmtId="0" fontId="49" fillId="0" borderId="25" xfId="1" applyFont="1" applyBorder="1"/>
    <xf numFmtId="0" fontId="49" fillId="0" borderId="11" xfId="1" applyFont="1" applyBorder="1" applyAlignment="1">
      <alignment horizontal="center"/>
    </xf>
    <xf numFmtId="0" fontId="49" fillId="0" borderId="128" xfId="1" applyFont="1" applyBorder="1"/>
    <xf numFmtId="0" fontId="49" fillId="0" borderId="130" xfId="1" applyFont="1" applyBorder="1"/>
    <xf numFmtId="0" fontId="49" fillId="0" borderId="131" xfId="1" applyFont="1" applyBorder="1"/>
    <xf numFmtId="0" fontId="49" fillId="0" borderId="132" xfId="1" applyFont="1" applyBorder="1"/>
    <xf numFmtId="0" fontId="49" fillId="0" borderId="133" xfId="1" applyFont="1" applyBorder="1"/>
    <xf numFmtId="0" fontId="49" fillId="0" borderId="135" xfId="1" applyFont="1" applyBorder="1"/>
    <xf numFmtId="0" fontId="49" fillId="0" borderId="4" xfId="1" applyFont="1" applyBorder="1" applyAlignment="1">
      <alignment horizontal="center"/>
    </xf>
    <xf numFmtId="0" fontId="49" fillId="0" borderId="6" xfId="1" applyFont="1" applyBorder="1"/>
    <xf numFmtId="0" fontId="49" fillId="0" borderId="12" xfId="1" applyFont="1" applyBorder="1"/>
    <xf numFmtId="0" fontId="49" fillId="0" borderId="21" xfId="1" applyFont="1" applyBorder="1"/>
    <xf numFmtId="0" fontId="49" fillId="0" borderId="136" xfId="1" applyFont="1" applyBorder="1"/>
    <xf numFmtId="0" fontId="49" fillId="0" borderId="7" xfId="1" applyFont="1" applyBorder="1" applyAlignment="1">
      <alignment horizontal="center"/>
    </xf>
    <xf numFmtId="0" fontId="49" fillId="0" borderId="9" xfId="1" applyFont="1" applyBorder="1" applyAlignment="1">
      <alignment horizontal="right"/>
    </xf>
    <xf numFmtId="0" fontId="49" fillId="0" borderId="129" xfId="1" applyFont="1" applyBorder="1"/>
    <xf numFmtId="0" fontId="49" fillId="0" borderId="138" xfId="1" applyFont="1" applyBorder="1"/>
    <xf numFmtId="0" fontId="49" fillId="0" borderId="139" xfId="1" applyFont="1" applyBorder="1"/>
    <xf numFmtId="0" fontId="49" fillId="0" borderId="140" xfId="1" applyFont="1" applyBorder="1"/>
    <xf numFmtId="0" fontId="49" fillId="0" borderId="141" xfId="1" applyFont="1" applyBorder="1"/>
    <xf numFmtId="0" fontId="49" fillId="0" borderId="9" xfId="1" applyFont="1" applyBorder="1"/>
    <xf numFmtId="0" fontId="49" fillId="0" borderId="137" xfId="1" applyFont="1" applyBorder="1"/>
    <xf numFmtId="0" fontId="49" fillId="0" borderId="146" xfId="1" applyFont="1" applyBorder="1"/>
    <xf numFmtId="0" fontId="49" fillId="0" borderId="7" xfId="1" applyFont="1" applyBorder="1" applyAlignment="1">
      <alignment horizontal="right"/>
    </xf>
    <xf numFmtId="0" fontId="49" fillId="0" borderId="148" xfId="1" applyFont="1" applyBorder="1"/>
    <xf numFmtId="0" fontId="49" fillId="0" borderId="147" xfId="1" applyFont="1" applyBorder="1"/>
    <xf numFmtId="0" fontId="49" fillId="0" borderId="150" xfId="1" applyFont="1" applyBorder="1"/>
    <xf numFmtId="0" fontId="49" fillId="0" borderId="143" xfId="1" applyFont="1" applyBorder="1"/>
    <xf numFmtId="0" fontId="49" fillId="0" borderId="149" xfId="1" applyFont="1" applyBorder="1"/>
    <xf numFmtId="0" fontId="49" fillId="0" borderId="151" xfId="1" applyFont="1" applyBorder="1"/>
    <xf numFmtId="0" fontId="49" fillId="0" borderId="155" xfId="1" applyFont="1" applyBorder="1"/>
    <xf numFmtId="0" fontId="49" fillId="0" borderId="153" xfId="1" applyFont="1" applyBorder="1"/>
    <xf numFmtId="0" fontId="49" fillId="0" borderId="154" xfId="1" applyFont="1" applyBorder="1"/>
    <xf numFmtId="0" fontId="49" fillId="0" borderId="156" xfId="1" applyFont="1" applyBorder="1"/>
    <xf numFmtId="0" fontId="17" fillId="13" borderId="11" xfId="0" applyFont="1" applyFill="1" applyBorder="1" applyAlignment="1">
      <alignment horizontal="right"/>
    </xf>
    <xf numFmtId="0" fontId="3" fillId="13" borderId="0" xfId="0" applyFont="1" applyFill="1"/>
    <xf numFmtId="0" fontId="3" fillId="13" borderId="1" xfId="0" applyFont="1" applyFill="1" applyBorder="1"/>
    <xf numFmtId="0" fontId="4" fillId="13" borderId="11" xfId="0" applyFont="1" applyFill="1" applyBorder="1"/>
    <xf numFmtId="0" fontId="23" fillId="29" borderId="0" xfId="0" applyFont="1" applyFill="1"/>
    <xf numFmtId="0" fontId="23" fillId="0" borderId="23" xfId="0" applyFont="1" applyBorder="1"/>
    <xf numFmtId="0" fontId="23" fillId="3" borderId="18" xfId="0" applyFont="1" applyFill="1" applyBorder="1"/>
    <xf numFmtId="0" fontId="23" fillId="3" borderId="19" xfId="0" applyFont="1" applyFill="1" applyBorder="1"/>
    <xf numFmtId="0" fontId="23" fillId="3" borderId="17" xfId="0" applyFont="1" applyFill="1" applyBorder="1"/>
    <xf numFmtId="0" fontId="23" fillId="3" borderId="20" xfId="0" applyFont="1" applyFill="1" applyBorder="1"/>
    <xf numFmtId="0" fontId="23" fillId="3" borderId="21"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89" fillId="0" borderId="0" xfId="0" applyFont="1"/>
    <xf numFmtId="0" fontId="60" fillId="4" borderId="0" xfId="2" applyFont="1" applyFill="1" applyAlignment="1" applyProtection="1">
      <alignment horizontal="center" vertical="top"/>
      <protection locked="0"/>
    </xf>
    <xf numFmtId="0" fontId="60" fillId="4" borderId="0" xfId="2" applyFont="1" applyFill="1" applyAlignment="1" applyProtection="1">
      <alignment horizontal="right" vertical="top"/>
      <protection locked="0"/>
    </xf>
    <xf numFmtId="2" fontId="49" fillId="0" borderId="0" xfId="2" applyNumberFormat="1" applyFont="1" applyAlignment="1" applyProtection="1">
      <alignment horizontal="center" vertical="top"/>
      <protection locked="0"/>
    </xf>
    <xf numFmtId="0" fontId="49" fillId="0" borderId="0" xfId="2" applyFont="1" applyAlignment="1" applyProtection="1">
      <alignment horizontal="right" vertical="top"/>
      <protection locked="0"/>
    </xf>
    <xf numFmtId="2" fontId="60" fillId="0" borderId="0" xfId="2" applyNumberFormat="1" applyFont="1" applyAlignment="1" applyProtection="1">
      <alignment horizontal="center" vertical="top"/>
      <protection locked="0"/>
    </xf>
    <xf numFmtId="0" fontId="60" fillId="0" borderId="0" xfId="2" applyFont="1" applyAlignment="1" applyProtection="1">
      <alignment horizontal="right" vertical="top"/>
      <protection locked="0"/>
    </xf>
    <xf numFmtId="2" fontId="49" fillId="4" borderId="0" xfId="2" applyNumberFormat="1" applyFont="1" applyFill="1" applyAlignment="1" applyProtection="1">
      <alignment horizontal="center" vertical="top"/>
      <protection locked="0"/>
    </xf>
    <xf numFmtId="0" fontId="49" fillId="4" borderId="0" xfId="2" applyFont="1" applyFill="1" applyAlignment="1" applyProtection="1">
      <alignment horizontal="right" vertical="top"/>
      <protection locked="0"/>
    </xf>
    <xf numFmtId="0" fontId="49" fillId="0" borderId="0" xfId="2" applyFont="1" applyAlignment="1" applyProtection="1">
      <alignment horizontal="center" vertical="top"/>
      <protection locked="0"/>
    </xf>
    <xf numFmtId="0" fontId="60" fillId="0" borderId="0" xfId="2" applyFont="1" applyAlignment="1" applyProtection="1">
      <alignment horizontal="center" vertical="top"/>
      <protection locked="0"/>
    </xf>
    <xf numFmtId="0" fontId="49" fillId="4" borderId="0" xfId="2" applyFont="1" applyFill="1" applyAlignment="1" applyProtection="1">
      <alignment horizontal="center" vertical="top"/>
      <protection locked="0"/>
    </xf>
    <xf numFmtId="0" fontId="49" fillId="4" borderId="0" xfId="0" applyFont="1" applyFill="1" applyAlignment="1">
      <alignment horizontal="center" vertical="top"/>
    </xf>
    <xf numFmtId="0" fontId="49" fillId="4" borderId="0" xfId="0" applyFont="1" applyFill="1" applyAlignment="1">
      <alignment horizontal="right" vertical="top"/>
    </xf>
    <xf numFmtId="0" fontId="49" fillId="2" borderId="0" xfId="2" applyFont="1" applyFill="1" applyAlignment="1" applyProtection="1">
      <alignment horizontal="center" vertical="top"/>
      <protection locked="0"/>
    </xf>
    <xf numFmtId="0" fontId="49" fillId="2" borderId="0" xfId="2" applyFont="1" applyFill="1" applyAlignment="1" applyProtection="1">
      <alignment horizontal="right" vertical="top"/>
      <protection locked="0"/>
    </xf>
    <xf numFmtId="0" fontId="49" fillId="2" borderId="0" xfId="0" applyFont="1" applyFill="1" applyAlignment="1">
      <alignment horizontal="center" vertical="top"/>
    </xf>
    <xf numFmtId="0" fontId="49" fillId="2" borderId="0" xfId="0" applyFont="1" applyFill="1" applyAlignment="1">
      <alignment horizontal="right" vertical="top"/>
    </xf>
    <xf numFmtId="0" fontId="49" fillId="0" borderId="0" xfId="0" applyFont="1" applyAlignment="1">
      <alignment horizontal="center" vertical="top"/>
    </xf>
    <xf numFmtId="0" fontId="49" fillId="0" borderId="0" xfId="0" applyFont="1" applyAlignment="1">
      <alignment horizontal="right" vertical="top"/>
    </xf>
    <xf numFmtId="0" fontId="47" fillId="0" borderId="11" xfId="2" applyFont="1" applyBorder="1" applyAlignment="1" applyProtection="1">
      <alignment horizontal="center" vertical="center"/>
      <protection locked="0"/>
    </xf>
    <xf numFmtId="0" fontId="75" fillId="0" borderId="11" xfId="0" applyFont="1" applyBorder="1" applyAlignment="1">
      <alignment horizontal="center" vertical="center"/>
    </xf>
    <xf numFmtId="0" fontId="49" fillId="0" borderId="0" xfId="0" applyFont="1" applyAlignment="1">
      <alignment horizontal="center" vertical="center"/>
    </xf>
    <xf numFmtId="0" fontId="49" fillId="4" borderId="1" xfId="0" applyFont="1" applyFill="1" applyBorder="1" applyAlignment="1">
      <alignment horizontal="center" vertical="center"/>
    </xf>
    <xf numFmtId="0" fontId="49" fillId="2" borderId="1" xfId="0" applyFont="1" applyFill="1" applyBorder="1" applyAlignment="1">
      <alignment horizontal="center" vertical="center"/>
    </xf>
    <xf numFmtId="0" fontId="49" fillId="2" borderId="8" xfId="0" applyFont="1" applyFill="1" applyBorder="1" applyAlignment="1">
      <alignment horizontal="center" vertical="center"/>
    </xf>
    <xf numFmtId="0" fontId="49" fillId="2" borderId="0" xfId="0" applyFont="1" applyFill="1" applyAlignment="1">
      <alignment horizontal="center" vertical="center"/>
    </xf>
    <xf numFmtId="0" fontId="28" fillId="0" borderId="11" xfId="0" applyFont="1" applyBorder="1" applyAlignment="1">
      <alignment horizontal="center"/>
    </xf>
    <xf numFmtId="0" fontId="18" fillId="2" borderId="0" xfId="0" applyFont="1" applyFill="1"/>
    <xf numFmtId="0" fontId="15" fillId="0" borderId="14" xfId="0" applyFont="1" applyBorder="1" applyAlignment="1">
      <alignment horizontal="center"/>
    </xf>
    <xf numFmtId="0" fontId="111" fillId="0" borderId="0" xfId="0" applyFont="1" applyAlignment="1">
      <alignment horizontal="center"/>
    </xf>
    <xf numFmtId="0" fontId="112" fillId="0" borderId="0" xfId="0" applyFont="1" applyAlignment="1">
      <alignment horizontal="center"/>
    </xf>
    <xf numFmtId="0" fontId="113" fillId="0" borderId="0" xfId="0" applyFont="1" applyAlignment="1">
      <alignment horizontal="center"/>
    </xf>
    <xf numFmtId="0" fontId="114" fillId="0" borderId="0" xfId="0" applyFont="1" applyAlignment="1">
      <alignment horizontal="center"/>
    </xf>
    <xf numFmtId="0" fontId="115" fillId="0" borderId="0" xfId="0" applyFont="1" applyAlignment="1">
      <alignment horizontal="center"/>
    </xf>
    <xf numFmtId="0" fontId="116" fillId="0" borderId="0" xfId="0" applyFont="1" applyAlignment="1">
      <alignment horizontal="center"/>
    </xf>
    <xf numFmtId="0" fontId="117" fillId="0" borderId="0" xfId="0" applyFont="1" applyAlignment="1">
      <alignment horizontal="center"/>
    </xf>
    <xf numFmtId="0" fontId="118" fillId="0" borderId="0" xfId="0" applyFont="1" applyAlignment="1">
      <alignment horizontal="center"/>
    </xf>
    <xf numFmtId="0" fontId="15" fillId="29" borderId="93" xfId="0" applyFont="1" applyFill="1" applyBorder="1"/>
    <xf numFmtId="0" fontId="15" fillId="29" borderId="94" xfId="0" applyFont="1" applyFill="1" applyBorder="1"/>
    <xf numFmtId="0" fontId="41" fillId="29" borderId="94" xfId="0" applyFont="1" applyFill="1" applyBorder="1" applyAlignment="1">
      <alignment horizontal="right"/>
    </xf>
    <xf numFmtId="0" fontId="15" fillId="32" borderId="95" xfId="0" applyFont="1" applyFill="1" applyBorder="1" applyAlignment="1">
      <alignment horizontal="right"/>
    </xf>
    <xf numFmtId="0" fontId="15" fillId="29" borderId="96" xfId="0" applyFont="1" applyFill="1" applyBorder="1"/>
    <xf numFmtId="0" fontId="15" fillId="29" borderId="0" xfId="0" applyFont="1" applyFill="1"/>
    <xf numFmtId="0" fontId="41" fillId="29" borderId="0" xfId="0" applyFont="1" applyFill="1" applyAlignment="1">
      <alignment horizontal="right"/>
    </xf>
    <xf numFmtId="0" fontId="15" fillId="32" borderId="97" xfId="0" applyFont="1" applyFill="1" applyBorder="1" applyAlignment="1">
      <alignment horizontal="right"/>
    </xf>
    <xf numFmtId="0" fontId="15" fillId="29" borderId="0" xfId="0" applyFont="1" applyFill="1" applyAlignment="1">
      <alignment horizontal="right"/>
    </xf>
    <xf numFmtId="0" fontId="15" fillId="29" borderId="0" xfId="0" applyFont="1" applyFill="1" applyAlignment="1">
      <alignment horizontal="center"/>
    </xf>
    <xf numFmtId="0" fontId="15" fillId="29" borderId="98" xfId="0" applyFont="1" applyFill="1" applyBorder="1" applyAlignment="1">
      <alignment horizontal="right"/>
    </xf>
    <xf numFmtId="0" fontId="15" fillId="29" borderId="99" xfId="0" applyFont="1" applyFill="1" applyBorder="1"/>
    <xf numFmtId="0" fontId="15" fillId="29" borderId="11" xfId="0" applyFont="1" applyFill="1" applyBorder="1"/>
    <xf numFmtId="0" fontId="15" fillId="29" borderId="11" xfId="0" applyFont="1" applyFill="1" applyBorder="1" applyAlignment="1">
      <alignment horizontal="center"/>
    </xf>
    <xf numFmtId="0" fontId="15" fillId="34" borderId="100" xfId="0" applyFont="1" applyFill="1" applyBorder="1" applyAlignment="1">
      <alignment horizontal="right"/>
    </xf>
    <xf numFmtId="0" fontId="15" fillId="29" borderId="101" xfId="0" applyFont="1" applyFill="1" applyBorder="1"/>
    <xf numFmtId="0" fontId="15" fillId="29" borderId="102" xfId="0" applyFont="1" applyFill="1" applyBorder="1"/>
    <xf numFmtId="0" fontId="15" fillId="29" borderId="102" xfId="0" applyFont="1" applyFill="1" applyBorder="1" applyAlignment="1">
      <alignment horizontal="center"/>
    </xf>
    <xf numFmtId="0" fontId="15" fillId="34" borderId="103" xfId="0" applyFont="1" applyFill="1" applyBorder="1" applyAlignment="1">
      <alignment horizontal="right"/>
    </xf>
    <xf numFmtId="0" fontId="15" fillId="0" borderId="0" xfId="0" applyFont="1" applyAlignment="1">
      <alignment horizontal="right"/>
    </xf>
    <xf numFmtId="0" fontId="15" fillId="34" borderId="82" xfId="0" applyFont="1" applyFill="1" applyBorder="1" applyAlignment="1">
      <alignment horizontal="right"/>
    </xf>
    <xf numFmtId="0" fontId="41" fillId="0" borderId="0" xfId="0" applyFont="1"/>
    <xf numFmtId="0" fontId="42" fillId="0" borderId="0" xfId="0" applyFont="1"/>
    <xf numFmtId="0" fontId="18" fillId="35" borderId="14" xfId="1" applyFont="1" applyFill="1" applyBorder="1" applyAlignment="1">
      <alignment horizontal="center" vertical="center"/>
    </xf>
    <xf numFmtId="0" fontId="15" fillId="0" borderId="20" xfId="0" applyFont="1" applyBorder="1"/>
    <xf numFmtId="0" fontId="15" fillId="4" borderId="0" xfId="0" applyFont="1" applyFill="1"/>
    <xf numFmtId="0" fontId="119" fillId="0" borderId="8" xfId="0" applyFont="1" applyBorder="1" applyAlignment="1">
      <alignment horizontal="center"/>
    </xf>
    <xf numFmtId="0" fontId="23" fillId="0" borderId="160" xfId="0" applyFont="1" applyBorder="1" applyAlignment="1">
      <alignment horizontal="center"/>
    </xf>
    <xf numFmtId="0" fontId="119" fillId="0" borderId="160" xfId="0" applyFont="1" applyBorder="1" applyAlignment="1">
      <alignment horizontal="center"/>
    </xf>
    <xf numFmtId="0" fontId="38" fillId="4" borderId="19" xfId="0" applyFont="1" applyFill="1" applyBorder="1" applyAlignment="1">
      <alignment horizontal="center"/>
    </xf>
    <xf numFmtId="0" fontId="38" fillId="4" borderId="17" xfId="0" applyFont="1" applyFill="1" applyBorder="1" applyAlignment="1">
      <alignment horizontal="center"/>
    </xf>
    <xf numFmtId="0" fontId="57" fillId="4" borderId="20" xfId="0" applyFont="1" applyFill="1" applyBorder="1"/>
    <xf numFmtId="0" fontId="41" fillId="0" borderId="14" xfId="0" applyFont="1" applyBorder="1" applyAlignment="1">
      <alignment horizontal="center"/>
    </xf>
    <xf numFmtId="0" fontId="41" fillId="0" borderId="158" xfId="0" applyFont="1" applyBorder="1" applyAlignment="1">
      <alignment horizontal="center"/>
    </xf>
    <xf numFmtId="0" fontId="57" fillId="2" borderId="20" xfId="0" applyFont="1" applyFill="1" applyBorder="1"/>
    <xf numFmtId="0" fontId="15" fillId="4" borderId="20" xfId="0" applyFont="1" applyFill="1" applyBorder="1"/>
    <xf numFmtId="0" fontId="0" fillId="4" borderId="21" xfId="0" applyFill="1" applyBorder="1"/>
    <xf numFmtId="0" fontId="15" fillId="4" borderId="21" xfId="0" applyFont="1" applyFill="1" applyBorder="1"/>
    <xf numFmtId="0" fontId="0" fillId="4" borderId="20" xfId="0" applyFill="1" applyBorder="1"/>
    <xf numFmtId="0" fontId="0" fillId="2" borderId="20" xfId="0" applyFill="1" applyBorder="1"/>
    <xf numFmtId="0" fontId="15" fillId="4" borderId="22" xfId="0" applyFont="1" applyFill="1" applyBorder="1"/>
    <xf numFmtId="0" fontId="15" fillId="4" borderId="23" xfId="0" applyFont="1" applyFill="1" applyBorder="1"/>
    <xf numFmtId="0" fontId="15" fillId="4" borderId="23" xfId="0" applyFont="1" applyFill="1" applyBorder="1" applyAlignment="1">
      <alignment horizontal="center"/>
    </xf>
    <xf numFmtId="0" fontId="0" fillId="4" borderId="23" xfId="0" applyFill="1" applyBorder="1"/>
    <xf numFmtId="0" fontId="0" fillId="4" borderId="24" xfId="0" applyFill="1" applyBorder="1"/>
    <xf numFmtId="0" fontId="38" fillId="3" borderId="19" xfId="0" applyFont="1" applyFill="1" applyBorder="1" applyAlignment="1">
      <alignment horizontal="center"/>
    </xf>
    <xf numFmtId="0" fontId="38" fillId="3" borderId="17" xfId="0" applyFont="1" applyFill="1" applyBorder="1" applyAlignment="1">
      <alignment horizontal="center"/>
    </xf>
    <xf numFmtId="0" fontId="57" fillId="3" borderId="20" xfId="0" applyFont="1" applyFill="1" applyBorder="1"/>
    <xf numFmtId="0" fontId="15" fillId="3" borderId="20" xfId="0" applyFont="1" applyFill="1" applyBorder="1"/>
    <xf numFmtId="0" fontId="0" fillId="3" borderId="0" xfId="0" applyFill="1"/>
    <xf numFmtId="0" fontId="0" fillId="3" borderId="22" xfId="0" applyFill="1" applyBorder="1"/>
    <xf numFmtId="0" fontId="18" fillId="3" borderId="23" xfId="0" applyFont="1" applyFill="1" applyBorder="1" applyAlignment="1">
      <alignment horizontal="right"/>
    </xf>
    <xf numFmtId="0" fontId="15" fillId="0" borderId="161" xfId="0" applyFont="1" applyBorder="1" applyAlignment="1">
      <alignment horizontal="center"/>
    </xf>
    <xf numFmtId="0" fontId="15" fillId="3" borderId="23" xfId="0" applyFont="1" applyFill="1" applyBorder="1"/>
    <xf numFmtId="0" fontId="0" fillId="3" borderId="23" xfId="0" applyFill="1" applyBorder="1"/>
    <xf numFmtId="0" fontId="41" fillId="36" borderId="19" xfId="0" applyFont="1" applyFill="1" applyBorder="1"/>
    <xf numFmtId="0" fontId="38" fillId="36" borderId="19" xfId="0" applyFont="1" applyFill="1" applyBorder="1" applyAlignment="1">
      <alignment horizontal="center"/>
    </xf>
    <xf numFmtId="0" fontId="38" fillId="36" borderId="17" xfId="0" applyFont="1" applyFill="1" applyBorder="1" applyAlignment="1">
      <alignment horizontal="center"/>
    </xf>
    <xf numFmtId="0" fontId="57" fillId="5" borderId="20" xfId="0" applyFont="1" applyFill="1" applyBorder="1"/>
    <xf numFmtId="0" fontId="15" fillId="36" borderId="20" xfId="0" applyFont="1" applyFill="1" applyBorder="1"/>
    <xf numFmtId="0" fontId="0" fillId="36" borderId="21" xfId="0" applyFill="1" applyBorder="1"/>
    <xf numFmtId="0" fontId="0" fillId="5" borderId="22" xfId="0" applyFill="1" applyBorder="1"/>
    <xf numFmtId="0" fontId="18" fillId="5" borderId="23" xfId="0" applyFont="1" applyFill="1" applyBorder="1" applyAlignment="1">
      <alignment horizontal="right"/>
    </xf>
    <xf numFmtId="0" fontId="15" fillId="36" borderId="23" xfId="0" applyFont="1" applyFill="1" applyBorder="1"/>
    <xf numFmtId="0" fontId="0" fillId="5" borderId="23" xfId="0" applyFill="1" applyBorder="1"/>
    <xf numFmtId="0" fontId="15" fillId="0" borderId="162" xfId="0" applyFont="1" applyBorder="1" applyAlignment="1">
      <alignment horizontal="center"/>
    </xf>
    <xf numFmtId="0" fontId="15" fillId="36" borderId="94" xfId="0" applyFont="1" applyFill="1" applyBorder="1"/>
    <xf numFmtId="0" fontId="41" fillId="0" borderId="165" xfId="0" applyFont="1" applyBorder="1" applyAlignment="1">
      <alignment horizontal="center"/>
    </xf>
    <xf numFmtId="0" fontId="41" fillId="0" borderId="164" xfId="0" applyFont="1" applyBorder="1" applyAlignment="1">
      <alignment horizontal="center"/>
    </xf>
    <xf numFmtId="0" fontId="15" fillId="3" borderId="94" xfId="0" applyFont="1" applyFill="1" applyBorder="1"/>
    <xf numFmtId="0" fontId="18" fillId="4" borderId="166" xfId="0" applyFont="1" applyFill="1" applyBorder="1" applyAlignment="1">
      <alignment horizontal="right"/>
    </xf>
    <xf numFmtId="0" fontId="18" fillId="2" borderId="166" xfId="0" applyFont="1" applyFill="1" applyBorder="1" applyAlignment="1">
      <alignment horizontal="right"/>
    </xf>
    <xf numFmtId="0" fontId="41" fillId="0" borderId="13" xfId="0" applyFont="1" applyBorder="1" applyAlignment="1">
      <alignment horizontal="center"/>
    </xf>
    <xf numFmtId="0" fontId="41" fillId="0" borderId="167" xfId="0" applyFont="1" applyBorder="1" applyAlignment="1">
      <alignment horizontal="center"/>
    </xf>
    <xf numFmtId="0" fontId="38" fillId="4" borderId="166" xfId="0" applyFont="1" applyFill="1" applyBorder="1" applyAlignment="1">
      <alignment horizontal="right" vertical="top"/>
    </xf>
    <xf numFmtId="0" fontId="38" fillId="2" borderId="166" xfId="0" applyFont="1" applyFill="1" applyBorder="1" applyAlignment="1">
      <alignment horizontal="right" vertical="top"/>
    </xf>
    <xf numFmtId="0" fontId="15" fillId="4" borderId="162" xfId="0" applyFont="1" applyFill="1" applyBorder="1" applyAlignment="1">
      <alignment horizontal="center"/>
    </xf>
    <xf numFmtId="0" fontId="15" fillId="0" borderId="94" xfId="0" applyFont="1" applyBorder="1"/>
    <xf numFmtId="0" fontId="48" fillId="0" borderId="96" xfId="0" applyFont="1" applyBorder="1" applyAlignment="1">
      <alignment horizontal="center"/>
    </xf>
    <xf numFmtId="0" fontId="15" fillId="3" borderId="163" xfId="0" applyFont="1" applyFill="1" applyBorder="1" applyAlignment="1">
      <alignment horizontal="center"/>
    </xf>
    <xf numFmtId="0" fontId="15" fillId="3" borderId="165" xfId="0" applyFont="1" applyFill="1" applyBorder="1" applyAlignment="1">
      <alignment horizontal="center"/>
    </xf>
    <xf numFmtId="0" fontId="15" fillId="36" borderId="165" xfId="0" applyFont="1" applyFill="1" applyBorder="1" applyAlignment="1">
      <alignment horizontal="center"/>
    </xf>
    <xf numFmtId="0" fontId="15" fillId="0" borderId="107" xfId="0" applyFont="1" applyBorder="1" applyAlignment="1">
      <alignment horizontal="center"/>
    </xf>
    <xf numFmtId="0" fontId="15" fillId="36" borderId="168" xfId="0" applyFont="1" applyFill="1" applyBorder="1" applyAlignment="1">
      <alignment horizontal="center"/>
    </xf>
    <xf numFmtId="0" fontId="15" fillId="0" borderId="169" xfId="0" applyFont="1" applyBorder="1" applyAlignment="1">
      <alignment horizontal="center"/>
    </xf>
    <xf numFmtId="0" fontId="15" fillId="10" borderId="162" xfId="0" applyFont="1" applyFill="1" applyBorder="1" applyAlignment="1">
      <alignment horizontal="center"/>
    </xf>
    <xf numFmtId="0" fontId="15" fillId="2" borderId="94" xfId="0" applyFont="1" applyFill="1" applyBorder="1"/>
    <xf numFmtId="0" fontId="119" fillId="0" borderId="173" xfId="0" applyFont="1" applyBorder="1" applyAlignment="1">
      <alignment horizontal="center"/>
    </xf>
    <xf numFmtId="0" fontId="119" fillId="0" borderId="174" xfId="0" applyFont="1" applyBorder="1" applyAlignment="1">
      <alignment horizontal="center"/>
    </xf>
    <xf numFmtId="0" fontId="15" fillId="10" borderId="169" xfId="0" applyFont="1" applyFill="1" applyBorder="1"/>
    <xf numFmtId="0" fontId="28" fillId="0" borderId="107" xfId="0" applyFont="1" applyBorder="1"/>
    <xf numFmtId="0" fontId="15" fillId="2" borderId="176" xfId="0" applyFont="1" applyFill="1" applyBorder="1" applyAlignment="1">
      <alignment horizontal="center"/>
    </xf>
    <xf numFmtId="0" fontId="15" fillId="2" borderId="177" xfId="0" applyFont="1" applyFill="1" applyBorder="1" applyAlignment="1">
      <alignment horizontal="center"/>
    </xf>
    <xf numFmtId="0" fontId="15" fillId="2" borderId="108" xfId="0" applyFont="1" applyFill="1" applyBorder="1" applyAlignment="1">
      <alignment horizontal="center"/>
    </xf>
    <xf numFmtId="0" fontId="75" fillId="4" borderId="19" xfId="0" applyFont="1" applyFill="1" applyBorder="1" applyAlignment="1">
      <alignment horizontal="center"/>
    </xf>
    <xf numFmtId="0" fontId="38" fillId="3" borderId="18" xfId="0" applyFont="1" applyFill="1" applyBorder="1"/>
    <xf numFmtId="0" fontId="38" fillId="3" borderId="19" xfId="0" applyFont="1" applyFill="1" applyBorder="1"/>
    <xf numFmtId="0" fontId="38" fillId="4" borderId="18" xfId="0" applyFont="1" applyFill="1" applyBorder="1"/>
    <xf numFmtId="0" fontId="38" fillId="4" borderId="19" xfId="0" applyFont="1" applyFill="1" applyBorder="1"/>
    <xf numFmtId="0" fontId="38" fillId="36" borderId="18" xfId="0" applyFont="1" applyFill="1" applyBorder="1"/>
    <xf numFmtId="0" fontId="75" fillId="36" borderId="19" xfId="0" applyFont="1" applyFill="1" applyBorder="1" applyAlignment="1">
      <alignment horizontal="center"/>
    </xf>
    <xf numFmtId="0" fontId="75" fillId="3" borderId="19" xfId="0" applyFont="1" applyFill="1" applyBorder="1" applyAlignment="1">
      <alignment horizontal="center"/>
    </xf>
    <xf numFmtId="0" fontId="0" fillId="3" borderId="96" xfId="0" applyFill="1" applyBorder="1"/>
    <xf numFmtId="1" fontId="0" fillId="3" borderId="166" xfId="0" applyNumberFormat="1" applyFill="1" applyBorder="1" applyAlignment="1">
      <alignment horizontal="center"/>
    </xf>
    <xf numFmtId="0" fontId="0" fillId="0" borderId="96" xfId="0" applyBorder="1"/>
    <xf numFmtId="1" fontId="0" fillId="0" borderId="166" xfId="0" applyNumberFormat="1" applyBorder="1" applyAlignment="1">
      <alignment horizontal="center"/>
    </xf>
    <xf numFmtId="0" fontId="0" fillId="3" borderId="106" xfId="0" applyFill="1" applyBorder="1"/>
    <xf numFmtId="0" fontId="0" fillId="3" borderId="107" xfId="0" applyFill="1" applyBorder="1"/>
    <xf numFmtId="1" fontId="0" fillId="3" borderId="108" xfId="0" applyNumberFormat="1" applyFill="1" applyBorder="1" applyAlignment="1">
      <alignment horizontal="center"/>
    </xf>
    <xf numFmtId="9" fontId="0" fillId="3" borderId="166" xfId="0" applyNumberFormat="1" applyFill="1" applyBorder="1" applyAlignment="1">
      <alignment horizontal="center"/>
    </xf>
    <xf numFmtId="9" fontId="0" fillId="0" borderId="166" xfId="0" applyNumberFormat="1" applyBorder="1" applyAlignment="1">
      <alignment horizontal="center"/>
    </xf>
    <xf numFmtId="9" fontId="0" fillId="3" borderId="108" xfId="0" applyNumberFormat="1" applyFill="1" applyBorder="1" applyAlignment="1">
      <alignment horizontal="center"/>
    </xf>
    <xf numFmtId="1" fontId="0" fillId="3" borderId="172" xfId="0" applyNumberFormat="1" applyFill="1" applyBorder="1" applyAlignment="1">
      <alignment horizontal="center"/>
    </xf>
    <xf numFmtId="0" fontId="23" fillId="5" borderId="93" xfId="0" applyFont="1" applyFill="1" applyBorder="1"/>
    <xf numFmtId="0" fontId="23" fillId="0" borderId="105" xfId="0" applyFont="1" applyBorder="1"/>
    <xf numFmtId="0" fontId="23" fillId="2" borderId="96" xfId="0" applyFont="1" applyFill="1" applyBorder="1"/>
    <xf numFmtId="0" fontId="23" fillId="0" borderId="166" xfId="0" applyFont="1" applyBorder="1"/>
    <xf numFmtId="0" fontId="23" fillId="3" borderId="96" xfId="0" applyFont="1" applyFill="1" applyBorder="1"/>
    <xf numFmtId="0" fontId="23" fillId="4" borderId="96" xfId="0" applyFont="1" applyFill="1" applyBorder="1"/>
    <xf numFmtId="0" fontId="23" fillId="14" borderId="106" xfId="0" applyFont="1" applyFill="1" applyBorder="1"/>
    <xf numFmtId="0" fontId="23" fillId="0" borderId="108" xfId="0" applyFont="1" applyBorder="1"/>
    <xf numFmtId="0" fontId="15" fillId="0" borderId="13" xfId="0" applyFont="1" applyBorder="1" applyAlignment="1">
      <alignment horizontal="center"/>
    </xf>
    <xf numFmtId="0" fontId="128" fillId="0" borderId="173" xfId="0" applyFont="1" applyBorder="1" applyAlignment="1">
      <alignment horizontal="center"/>
    </xf>
    <xf numFmtId="0" fontId="17" fillId="10" borderId="175" xfId="0" applyFont="1" applyFill="1" applyBorder="1" applyAlignment="1">
      <alignment horizontal="center"/>
    </xf>
    <xf numFmtId="0" fontId="128" fillId="0" borderId="8" xfId="0" applyFont="1" applyBorder="1" applyAlignment="1">
      <alignment horizontal="center"/>
    </xf>
    <xf numFmtId="0" fontId="17" fillId="10" borderId="162" xfId="0" applyFont="1" applyFill="1" applyBorder="1" applyAlignment="1">
      <alignment horizontal="center"/>
    </xf>
    <xf numFmtId="0" fontId="17" fillId="2" borderId="172" xfId="0" applyFont="1" applyFill="1" applyBorder="1" applyAlignment="1">
      <alignment horizontal="center"/>
    </xf>
    <xf numFmtId="0" fontId="17" fillId="0" borderId="106" xfId="0" applyFont="1" applyBorder="1" applyAlignment="1">
      <alignment horizontal="center"/>
    </xf>
    <xf numFmtId="0" fontId="17" fillId="0" borderId="170" xfId="0" applyFont="1" applyBorder="1" applyAlignment="1">
      <alignment horizontal="center"/>
    </xf>
    <xf numFmtId="0" fontId="17" fillId="0" borderId="108" xfId="0" applyFont="1" applyBorder="1" applyAlignment="1">
      <alignment horizontal="center"/>
    </xf>
    <xf numFmtId="0" fontId="17" fillId="0" borderId="166" xfId="0" applyFont="1" applyBorder="1" applyAlignment="1">
      <alignment horizontal="center"/>
    </xf>
    <xf numFmtId="0" fontId="26" fillId="0" borderId="165" xfId="0" applyFont="1" applyBorder="1" applyAlignment="1">
      <alignment horizontal="center"/>
    </xf>
    <xf numFmtId="0" fontId="26" fillId="0" borderId="178" xfId="0" applyFont="1" applyBorder="1"/>
    <xf numFmtId="0" fontId="17" fillId="2" borderId="11" xfId="0" applyFont="1" applyFill="1" applyBorder="1" applyAlignment="1">
      <alignment horizontal="center"/>
    </xf>
    <xf numFmtId="0" fontId="56" fillId="22" borderId="0" xfId="0" applyFont="1" applyFill="1" applyAlignment="1">
      <alignment horizontal="center" vertical="top"/>
    </xf>
    <xf numFmtId="0" fontId="45" fillId="0" borderId="0" xfId="0" applyFont="1" applyAlignment="1">
      <alignment horizontal="center" vertical="top"/>
    </xf>
    <xf numFmtId="0" fontId="48" fillId="0" borderId="0" xfId="0" applyFont="1"/>
    <xf numFmtId="0" fontId="130" fillId="0" borderId="0" xfId="0" applyFont="1"/>
    <xf numFmtId="0" fontId="23" fillId="0" borderId="0" xfId="0" applyFont="1" applyAlignment="1">
      <alignment horizontal="right" vertical="top"/>
    </xf>
    <xf numFmtId="0" fontId="23" fillId="0" borderId="179" xfId="0" applyFont="1" applyBorder="1"/>
    <xf numFmtId="0" fontId="23" fillId="0" borderId="180" xfId="0" applyFont="1" applyBorder="1"/>
    <xf numFmtId="0" fontId="23" fillId="0" borderId="52" xfId="0" applyFont="1" applyBorder="1" applyAlignment="1">
      <alignment horizontal="center"/>
    </xf>
    <xf numFmtId="0" fontId="23" fillId="0" borderId="181" xfId="0" applyFont="1" applyBorder="1"/>
    <xf numFmtId="0" fontId="23" fillId="0" borderId="158" xfId="0" applyFont="1" applyBorder="1" applyAlignment="1">
      <alignment horizontal="center"/>
    </xf>
    <xf numFmtId="0" fontId="23" fillId="0" borderId="182" xfId="0" applyFont="1" applyBorder="1"/>
    <xf numFmtId="0" fontId="23" fillId="0" borderId="183" xfId="0" applyFont="1" applyBorder="1" applyAlignment="1">
      <alignment horizontal="center"/>
    </xf>
    <xf numFmtId="0" fontId="15" fillId="0" borderId="26" xfId="0" applyFont="1" applyBorder="1"/>
    <xf numFmtId="0" fontId="23" fillId="0" borderId="5" xfId="0" applyFont="1" applyBorder="1"/>
    <xf numFmtId="0" fontId="23" fillId="0" borderId="1" xfId="0" applyFont="1" applyBorder="1"/>
    <xf numFmtId="0" fontId="15" fillId="0" borderId="0" xfId="0" applyFont="1" applyAlignment="1">
      <alignment horizontal="right" vertical="top"/>
    </xf>
    <xf numFmtId="0" fontId="18" fillId="0" borderId="0" xfId="0" applyFont="1" applyAlignment="1">
      <alignment vertical="center" wrapText="1"/>
    </xf>
    <xf numFmtId="0" fontId="29" fillId="0" borderId="0" xfId="0" applyFont="1" applyAlignment="1">
      <alignment horizontal="right" vertical="top"/>
    </xf>
    <xf numFmtId="0" fontId="28" fillId="0" borderId="0" xfId="0" applyFont="1" applyAlignment="1">
      <alignment horizontal="right" vertical="top"/>
    </xf>
    <xf numFmtId="0" fontId="23" fillId="4" borderId="19" xfId="0" applyFont="1" applyFill="1" applyBorder="1"/>
    <xf numFmtId="0" fontId="23" fillId="4" borderId="17" xfId="0" applyFont="1" applyFill="1" applyBorder="1"/>
    <xf numFmtId="0" fontId="23" fillId="32" borderId="14" xfId="0" applyFont="1" applyFill="1" applyBorder="1" applyAlignment="1">
      <alignment horizontal="center"/>
    </xf>
    <xf numFmtId="0" fontId="23" fillId="5" borderId="14" xfId="0" applyFont="1" applyFill="1" applyBorder="1" applyAlignment="1">
      <alignment horizontal="center"/>
    </xf>
    <xf numFmtId="0" fontId="23" fillId="2" borderId="14" xfId="0" applyFont="1" applyFill="1" applyBorder="1" applyAlignment="1">
      <alignment horizontal="center"/>
    </xf>
    <xf numFmtId="0" fontId="23" fillId="37" borderId="14" xfId="0" applyFont="1" applyFill="1" applyBorder="1" applyAlignment="1">
      <alignment horizontal="center"/>
    </xf>
    <xf numFmtId="0" fontId="23" fillId="38" borderId="14" xfId="0" applyFont="1" applyFill="1" applyBorder="1" applyAlignment="1">
      <alignment horizontal="center"/>
    </xf>
    <xf numFmtId="0" fontId="23" fillId="39" borderId="14" xfId="0" applyFont="1" applyFill="1" applyBorder="1" applyAlignment="1">
      <alignment horizontal="center"/>
    </xf>
    <xf numFmtId="0" fontId="23" fillId="4" borderId="14" xfId="0" applyFont="1" applyFill="1" applyBorder="1" applyAlignment="1">
      <alignment horizontal="center"/>
    </xf>
    <xf numFmtId="0" fontId="23" fillId="29" borderId="14" xfId="0" applyFont="1" applyFill="1" applyBorder="1" applyAlignment="1">
      <alignment horizontal="center"/>
    </xf>
    <xf numFmtId="0" fontId="23" fillId="40" borderId="14" xfId="0" applyFont="1" applyFill="1" applyBorder="1" applyAlignment="1">
      <alignment horizontal="center"/>
    </xf>
    <xf numFmtId="0" fontId="23" fillId="0" borderId="157" xfId="0" applyFont="1" applyBorder="1"/>
    <xf numFmtId="0" fontId="23" fillId="0" borderId="120" xfId="0" applyFont="1" applyBorder="1"/>
    <xf numFmtId="0" fontId="23" fillId="0" borderId="120" xfId="0" applyFont="1" applyBorder="1" applyAlignment="1">
      <alignment horizontal="center"/>
    </xf>
    <xf numFmtId="0" fontId="23" fillId="4" borderId="120" xfId="0" applyFont="1" applyFill="1" applyBorder="1" applyAlignment="1">
      <alignment horizontal="center"/>
    </xf>
    <xf numFmtId="0" fontId="23" fillId="2" borderId="19" xfId="0" applyFont="1" applyFill="1" applyBorder="1" applyAlignment="1">
      <alignment horizontal="center"/>
    </xf>
    <xf numFmtId="0" fontId="23" fillId="10" borderId="19" xfId="0" applyFont="1" applyFill="1" applyBorder="1" applyAlignment="1">
      <alignment horizontal="center"/>
    </xf>
    <xf numFmtId="0" fontId="23" fillId="0" borderId="165" xfId="0" applyFont="1" applyBorder="1" applyAlignment="1">
      <alignment horizontal="center"/>
    </xf>
    <xf numFmtId="0" fontId="23" fillId="0" borderId="171" xfId="0" applyFont="1" applyBorder="1" applyAlignment="1">
      <alignment horizontal="center"/>
    </xf>
    <xf numFmtId="0" fontId="23" fillId="0" borderId="166" xfId="0" applyFont="1" applyBorder="1" applyAlignment="1">
      <alignment horizontal="center"/>
    </xf>
    <xf numFmtId="0" fontId="23" fillId="10" borderId="162" xfId="0" applyFont="1" applyFill="1" applyBorder="1"/>
    <xf numFmtId="0" fontId="31" fillId="0" borderId="12" xfId="0" applyFont="1" applyBorder="1" applyAlignment="1">
      <alignment horizontal="left"/>
    </xf>
    <xf numFmtId="0" fontId="0" fillId="0" borderId="11" xfId="0" applyBorder="1" applyAlignment="1">
      <alignment horizontal="center"/>
    </xf>
    <xf numFmtId="0" fontId="0" fillId="0" borderId="13" xfId="0" applyBorder="1" applyAlignment="1">
      <alignment horizontal="center"/>
    </xf>
    <xf numFmtId="0" fontId="18" fillId="0" borderId="12" xfId="0" applyFont="1" applyBorder="1"/>
    <xf numFmtId="0" fontId="17" fillId="0" borderId="14" xfId="0" applyFont="1" applyBorder="1" applyAlignment="1">
      <alignment horizontal="center"/>
    </xf>
    <xf numFmtId="0" fontId="17" fillId="4" borderId="14" xfId="0" applyFont="1" applyFill="1" applyBorder="1" applyAlignment="1">
      <alignment horizontal="center"/>
    </xf>
    <xf numFmtId="0" fontId="17" fillId="4" borderId="115" xfId="0" applyFont="1" applyFill="1" applyBorder="1" applyAlignment="1">
      <alignment horizontal="center"/>
    </xf>
    <xf numFmtId="0" fontId="28" fillId="3" borderId="18" xfId="0" applyFont="1" applyFill="1" applyBorder="1" applyAlignment="1">
      <alignment horizontal="left" vertical="top"/>
    </xf>
    <xf numFmtId="0" fontId="29" fillId="3" borderId="19" xfId="0" applyFont="1" applyFill="1" applyBorder="1" applyAlignment="1">
      <alignment horizontal="left"/>
    </xf>
    <xf numFmtId="0" fontId="29" fillId="3" borderId="19" xfId="0" applyFont="1" applyFill="1" applyBorder="1"/>
    <xf numFmtId="0" fontId="28" fillId="3" borderId="19" xfId="0" applyFont="1" applyFill="1" applyBorder="1" applyAlignment="1">
      <alignment horizontal="left" vertical="top"/>
    </xf>
    <xf numFmtId="0" fontId="29" fillId="3" borderId="17" xfId="0" applyFont="1" applyFill="1" applyBorder="1"/>
    <xf numFmtId="0" fontId="29" fillId="3" borderId="20" xfId="0" applyFont="1" applyFill="1" applyBorder="1" applyAlignment="1">
      <alignment horizontal="left" vertical="center" wrapText="1"/>
    </xf>
    <xf numFmtId="0" fontId="29" fillId="3" borderId="0" xfId="0" applyFont="1" applyFill="1" applyAlignment="1">
      <alignment horizontal="right" vertical="center" wrapText="1"/>
    </xf>
    <xf numFmtId="0" fontId="30" fillId="3" borderId="0" xfId="0" applyFont="1" applyFill="1" applyAlignment="1">
      <alignment horizontal="right" wrapText="1"/>
    </xf>
    <xf numFmtId="0" fontId="29" fillId="3" borderId="0" xfId="0" applyFont="1" applyFill="1"/>
    <xf numFmtId="0" fontId="29" fillId="3" borderId="20" xfId="0" applyFont="1" applyFill="1" applyBorder="1" applyAlignment="1">
      <alignment horizontal="left" vertical="center"/>
    </xf>
    <xf numFmtId="0" fontId="29" fillId="3" borderId="20" xfId="0" applyFont="1" applyFill="1" applyBorder="1" applyAlignment="1">
      <alignment horizontal="left" vertical="top"/>
    </xf>
    <xf numFmtId="0" fontId="28" fillId="3" borderId="20" xfId="0" applyFont="1" applyFill="1" applyBorder="1" applyAlignment="1">
      <alignment horizontal="left" vertical="top"/>
    </xf>
    <xf numFmtId="0" fontId="29" fillId="3" borderId="0" xfId="0" applyFont="1" applyFill="1" applyAlignment="1">
      <alignment horizontal="right" vertical="center"/>
    </xf>
    <xf numFmtId="0" fontId="28" fillId="3" borderId="0" xfId="0" applyFont="1" applyFill="1" applyAlignment="1">
      <alignment horizontal="left" vertical="top"/>
    </xf>
    <xf numFmtId="0" fontId="28" fillId="3" borderId="20" xfId="0" applyFont="1" applyFill="1" applyBorder="1" applyAlignment="1">
      <alignment horizontal="left" vertical="center" wrapText="1"/>
    </xf>
    <xf numFmtId="0" fontId="29" fillId="3" borderId="21" xfId="0" applyFont="1" applyFill="1" applyBorder="1"/>
    <xf numFmtId="0" fontId="29" fillId="3" borderId="22" xfId="0" applyFont="1" applyFill="1" applyBorder="1" applyAlignment="1">
      <alignment horizontal="left" vertical="top"/>
    </xf>
    <xf numFmtId="0" fontId="29" fillId="3" borderId="23" xfId="0" applyFont="1" applyFill="1" applyBorder="1"/>
    <xf numFmtId="0" fontId="29" fillId="3" borderId="24" xfId="0" applyFont="1" applyFill="1" applyBorder="1"/>
    <xf numFmtId="0" fontId="15" fillId="4" borderId="18" xfId="0" applyFont="1" applyFill="1" applyBorder="1" applyAlignment="1">
      <alignment horizontal="left" vertical="top"/>
    </xf>
    <xf numFmtId="0" fontId="23" fillId="4" borderId="20" xfId="0" applyFont="1" applyFill="1" applyBorder="1" applyAlignment="1">
      <alignment horizontal="left" vertical="top"/>
    </xf>
    <xf numFmtId="0" fontId="89" fillId="4" borderId="0" xfId="0" applyFont="1" applyFill="1" applyAlignment="1">
      <alignment horizontal="left" vertical="top"/>
    </xf>
    <xf numFmtId="0" fontId="23" fillId="4" borderId="0" xfId="0" applyFont="1" applyFill="1"/>
    <xf numFmtId="0" fontId="23" fillId="4" borderId="21" xfId="0" applyFont="1" applyFill="1" applyBorder="1"/>
    <xf numFmtId="0" fontId="15" fillId="4" borderId="20" xfId="0" applyFont="1" applyFill="1" applyBorder="1" applyAlignment="1">
      <alignment horizontal="left" vertical="top"/>
    </xf>
    <xf numFmtId="0" fontId="23" fillId="4" borderId="22" xfId="0" applyFont="1" applyFill="1" applyBorder="1" applyAlignment="1">
      <alignment horizontal="left" vertical="top"/>
    </xf>
    <xf numFmtId="0" fontId="89" fillId="4" borderId="23" xfId="0" applyFont="1" applyFill="1" applyBorder="1" applyAlignment="1">
      <alignment horizontal="left" vertical="top"/>
    </xf>
    <xf numFmtId="0" fontId="23" fillId="4" borderId="23" xfId="0" applyFont="1" applyFill="1" applyBorder="1"/>
    <xf numFmtId="0" fontId="23" fillId="4" borderId="24" xfId="0" applyFont="1" applyFill="1" applyBorder="1"/>
    <xf numFmtId="0" fontId="28" fillId="34" borderId="18" xfId="0" applyFont="1" applyFill="1" applyBorder="1" applyAlignment="1">
      <alignment horizontal="left" vertical="top"/>
    </xf>
    <xf numFmtId="0" fontId="29" fillId="34" borderId="19" xfId="0" applyFont="1" applyFill="1" applyBorder="1"/>
    <xf numFmtId="0" fontId="29" fillId="34" borderId="20" xfId="0" applyFont="1" applyFill="1" applyBorder="1"/>
    <xf numFmtId="0" fontId="29" fillId="34" borderId="0" xfId="0" applyFont="1" applyFill="1"/>
    <xf numFmtId="0" fontId="28" fillId="34" borderId="20" xfId="0" applyFont="1" applyFill="1" applyBorder="1" applyAlignment="1">
      <alignment horizontal="left" vertical="top"/>
    </xf>
    <xf numFmtId="0" fontId="29" fillId="34" borderId="20" xfId="0" applyFont="1" applyFill="1" applyBorder="1" applyAlignment="1">
      <alignment horizontal="left" vertical="top"/>
    </xf>
    <xf numFmtId="0" fontId="29" fillId="34" borderId="0" xfId="0" applyFont="1" applyFill="1" applyAlignment="1">
      <alignment horizontal="left" vertical="top"/>
    </xf>
    <xf numFmtId="0" fontId="30" fillId="34" borderId="0" xfId="0" applyFont="1" applyFill="1" applyAlignment="1">
      <alignment horizontal="left" vertical="top"/>
    </xf>
    <xf numFmtId="0" fontId="23" fillId="0" borderId="0" xfId="0" applyFont="1" applyAlignment="1">
      <alignment vertical="center" wrapText="1"/>
    </xf>
    <xf numFmtId="0" fontId="23" fillId="0" borderId="0" xfId="0" applyFont="1" applyAlignment="1">
      <alignment horizontal="center" vertical="center" wrapText="1"/>
    </xf>
    <xf numFmtId="0" fontId="17" fillId="0" borderId="11" xfId="0" applyFont="1" applyBorder="1" applyAlignment="1">
      <alignment horizontal="left" vertical="center"/>
    </xf>
    <xf numFmtId="0" fontId="0" fillId="0" borderId="11" xfId="0" applyBorder="1" applyAlignment="1">
      <alignment horizontal="left"/>
    </xf>
    <xf numFmtId="0" fontId="17" fillId="0" borderId="11" xfId="0" applyFont="1" applyBorder="1" applyAlignment="1">
      <alignment vertical="center" wrapText="1"/>
    </xf>
    <xf numFmtId="0" fontId="67" fillId="0" borderId="0" xfId="1" applyFont="1" applyAlignment="1">
      <alignment vertical="center"/>
    </xf>
    <xf numFmtId="0" fontId="67" fillId="0" borderId="0" xfId="1" applyFont="1" applyAlignment="1">
      <alignment horizontal="center" vertical="center"/>
    </xf>
    <xf numFmtId="0" fontId="85" fillId="0" borderId="0" xfId="1" applyFont="1"/>
    <xf numFmtId="49" fontId="28" fillId="0" borderId="7" xfId="0" applyNumberFormat="1" applyFont="1" applyBorder="1"/>
    <xf numFmtId="49" fontId="15" fillId="0" borderId="0" xfId="0" applyNumberFormat="1" applyFont="1"/>
    <xf numFmtId="0" fontId="8" fillId="0" borderId="0" xfId="0" applyFont="1"/>
    <xf numFmtId="0" fontId="18" fillId="0" borderId="13" xfId="0" applyFont="1" applyBorder="1"/>
    <xf numFmtId="0" fontId="18" fillId="2" borderId="5" xfId="0" applyFont="1" applyFill="1" applyBorder="1"/>
    <xf numFmtId="0" fontId="18" fillId="2" borderId="4" xfId="0" applyFont="1" applyFill="1" applyBorder="1"/>
    <xf numFmtId="0" fontId="18" fillId="2" borderId="4" xfId="0" applyFont="1" applyFill="1" applyBorder="1" applyAlignment="1">
      <alignment horizontal="center"/>
    </xf>
    <xf numFmtId="0" fontId="18" fillId="2" borderId="6" xfId="0" applyFont="1" applyFill="1" applyBorder="1"/>
    <xf numFmtId="0" fontId="18" fillId="2" borderId="1" xfId="0" applyFont="1" applyFill="1" applyBorder="1"/>
    <xf numFmtId="0" fontId="18" fillId="2" borderId="2" xfId="0" applyFont="1" applyFill="1" applyBorder="1"/>
    <xf numFmtId="0" fontId="89" fillId="4" borderId="23" xfId="0" applyFont="1" applyFill="1" applyBorder="1" applyAlignment="1">
      <alignment horizontal="right"/>
    </xf>
    <xf numFmtId="0" fontId="15" fillId="4" borderId="23" xfId="0" applyFont="1" applyFill="1" applyBorder="1" applyAlignment="1">
      <alignment horizontal="right"/>
    </xf>
    <xf numFmtId="0" fontId="0" fillId="4" borderId="0" xfId="0" applyFill="1"/>
    <xf numFmtId="0" fontId="41" fillId="0" borderId="12" xfId="0" applyFont="1" applyBorder="1" applyAlignment="1">
      <alignment horizontal="center"/>
    </xf>
    <xf numFmtId="0" fontId="41" fillId="0" borderId="128" xfId="0" applyFont="1" applyBorder="1" applyAlignment="1">
      <alignment horizontal="center"/>
    </xf>
    <xf numFmtId="0" fontId="41" fillId="0" borderId="102" xfId="0" applyFont="1" applyBorder="1" applyAlignment="1">
      <alignment horizontal="center"/>
    </xf>
    <xf numFmtId="0" fontId="38" fillId="4" borderId="184" xfId="0" applyFont="1" applyFill="1" applyBorder="1" applyAlignment="1">
      <alignment horizontal="center"/>
    </xf>
    <xf numFmtId="0" fontId="18" fillId="4" borderId="0" xfId="0" applyFont="1" applyFill="1" applyAlignment="1">
      <alignment horizontal="right"/>
    </xf>
    <xf numFmtId="0" fontId="18" fillId="2" borderId="0" xfId="0" applyFont="1" applyFill="1" applyAlignment="1">
      <alignment horizontal="right"/>
    </xf>
    <xf numFmtId="0" fontId="0" fillId="2" borderId="0" xfId="0" applyFill="1"/>
    <xf numFmtId="0" fontId="15" fillId="0" borderId="185" xfId="0" applyFont="1" applyBorder="1" applyAlignment="1">
      <alignment horizontal="center"/>
    </xf>
    <xf numFmtId="0" fontId="0" fillId="3" borderId="186" xfId="0" applyFill="1" applyBorder="1"/>
    <xf numFmtId="0" fontId="28" fillId="3" borderId="0" xfId="0" applyFont="1" applyFill="1"/>
    <xf numFmtId="0" fontId="0" fillId="36" borderId="0" xfId="0" applyFill="1"/>
    <xf numFmtId="0" fontId="0" fillId="36" borderId="186" xfId="0" applyFill="1" applyBorder="1"/>
    <xf numFmtId="0" fontId="0" fillId="36" borderId="23" xfId="0" applyFill="1" applyBorder="1"/>
    <xf numFmtId="0" fontId="38" fillId="5" borderId="0" xfId="0" applyFont="1" applyFill="1" applyAlignment="1">
      <alignment horizontal="right" vertical="top"/>
    </xf>
    <xf numFmtId="0" fontId="15" fillId="36" borderId="0" xfId="0" applyFont="1" applyFill="1"/>
    <xf numFmtId="0" fontId="0" fillId="36" borderId="24" xfId="0" applyFill="1" applyBorder="1"/>
    <xf numFmtId="0" fontId="0" fillId="0" borderId="23" xfId="0" applyBorder="1"/>
    <xf numFmtId="0" fontId="75" fillId="3" borderId="0" xfId="0" applyFont="1" applyFill="1" applyAlignment="1">
      <alignment horizontal="right" vertical="top"/>
    </xf>
    <xf numFmtId="0" fontId="28" fillId="3" borderId="21" xfId="0" applyFont="1" applyFill="1" applyBorder="1"/>
    <xf numFmtId="0" fontId="15" fillId="0" borderId="187" xfId="0" applyFont="1" applyBorder="1" applyAlignment="1">
      <alignment horizontal="center"/>
    </xf>
    <xf numFmtId="0" fontId="28" fillId="3" borderId="23" xfId="0" applyFont="1" applyFill="1" applyBorder="1"/>
    <xf numFmtId="0" fontId="28" fillId="3" borderId="24" xfId="0" applyFont="1" applyFill="1" applyBorder="1"/>
    <xf numFmtId="0" fontId="123" fillId="13" borderId="22"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23" fillId="13" borderId="20" xfId="0" applyFont="1" applyFill="1" applyBorder="1" applyAlignment="1">
      <alignment horizontal="center"/>
    </xf>
    <xf numFmtId="0" fontId="0" fillId="0" borderId="0" xfId="0" applyAlignment="1">
      <alignment horizontal="center"/>
    </xf>
    <xf numFmtId="0" fontId="0" fillId="0" borderId="21" xfId="0" applyBorder="1" applyAlignment="1">
      <alignment horizontal="center"/>
    </xf>
    <xf numFmtId="0" fontId="124" fillId="13" borderId="18" xfId="0" applyFont="1" applyFill="1" applyBorder="1" applyAlignment="1">
      <alignment horizontal="center"/>
    </xf>
    <xf numFmtId="0" fontId="127" fillId="0" borderId="19" xfId="0" applyFont="1" applyBorder="1" applyAlignment="1">
      <alignment horizontal="center"/>
    </xf>
    <xf numFmtId="0" fontId="127" fillId="0" borderId="17" xfId="0" applyFont="1" applyBorder="1" applyAlignment="1">
      <alignment horizontal="center"/>
    </xf>
    <xf numFmtId="0" fontId="18" fillId="13" borderId="7" xfId="0" applyFont="1" applyFill="1" applyBorder="1" applyAlignment="1">
      <alignment horizontal="left"/>
    </xf>
    <xf numFmtId="0" fontId="0" fillId="0" borderId="7" xfId="0" applyBorder="1" applyAlignment="1">
      <alignment horizontal="left"/>
    </xf>
    <xf numFmtId="3" fontId="11" fillId="13" borderId="7" xfId="0" applyNumberFormat="1" applyFont="1" applyFill="1" applyBorder="1" applyAlignment="1">
      <alignment horizontal="left"/>
    </xf>
    <xf numFmtId="0" fontId="2" fillId="13" borderId="5" xfId="0"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20" fillId="0" borderId="18" xfId="0" applyFont="1" applyBorder="1" applyAlignment="1">
      <alignment horizontal="center"/>
    </xf>
    <xf numFmtId="0" fontId="110" fillId="0" borderId="19" xfId="0" applyFont="1" applyBorder="1" applyAlignment="1">
      <alignment horizontal="center"/>
    </xf>
    <xf numFmtId="0" fontId="110" fillId="0" borderId="17" xfId="0" applyFont="1" applyBorder="1" applyAlignment="1">
      <alignment horizontal="center"/>
    </xf>
    <xf numFmtId="0" fontId="28" fillId="0" borderId="22" xfId="0" applyFont="1" applyBorder="1" applyAlignment="1">
      <alignment horizontal="center"/>
    </xf>
    <xf numFmtId="0" fontId="28" fillId="0" borderId="23" xfId="0" applyFont="1" applyBorder="1" applyAlignment="1">
      <alignment horizontal="center"/>
    </xf>
    <xf numFmtId="0" fontId="28" fillId="0" borderId="24" xfId="0" applyFont="1" applyBorder="1" applyAlignment="1">
      <alignment horizontal="center"/>
    </xf>
    <xf numFmtId="0" fontId="20" fillId="2" borderId="8" xfId="0" applyFont="1" applyFill="1" applyBorder="1" applyAlignment="1">
      <alignment horizontal="center"/>
    </xf>
    <xf numFmtId="0" fontId="110" fillId="2" borderId="7" xfId="0" applyFont="1" applyFill="1" applyBorder="1" applyAlignment="1">
      <alignment horizontal="center"/>
    </xf>
    <xf numFmtId="0" fontId="110" fillId="2" borderId="9" xfId="0" applyFont="1" applyFill="1" applyBorder="1" applyAlignment="1">
      <alignment horizontal="center"/>
    </xf>
    <xf numFmtId="0" fontId="23" fillId="13" borderId="7" xfId="0" applyFont="1" applyFill="1" applyBorder="1" applyAlignment="1">
      <alignment horizontal="left"/>
    </xf>
    <xf numFmtId="0" fontId="121" fillId="27" borderId="93" xfId="0" applyFont="1" applyFill="1" applyBorder="1" applyAlignment="1">
      <alignment horizontal="center"/>
    </xf>
    <xf numFmtId="0" fontId="121" fillId="27" borderId="94" xfId="0" applyFont="1" applyFill="1" applyBorder="1" applyAlignment="1">
      <alignment horizontal="center"/>
    </xf>
    <xf numFmtId="0" fontId="0" fillId="27" borderId="94" xfId="0" applyFill="1" applyBorder="1"/>
    <xf numFmtId="0" fontId="0" fillId="27" borderId="105" xfId="0" applyFill="1" applyBorder="1"/>
    <xf numFmtId="0" fontId="122" fillId="0" borderId="0" xfId="0" applyFont="1" applyAlignment="1">
      <alignment horizontal="center" vertical="center" wrapText="1"/>
    </xf>
    <xf numFmtId="0" fontId="0" fillId="0" borderId="0" xfId="0" applyAlignment="1">
      <alignment horizontal="center" vertical="center" wrapText="1"/>
    </xf>
    <xf numFmtId="49" fontId="17" fillId="4" borderId="93" xfId="0" applyNumberFormat="1" applyFont="1" applyFill="1" applyBorder="1" applyAlignment="1">
      <alignment horizontal="left" wrapText="1"/>
    </xf>
    <xf numFmtId="0" fontId="0" fillId="0" borderId="94" xfId="0" applyBorder="1" applyAlignment="1">
      <alignment wrapText="1"/>
    </xf>
    <xf numFmtId="0" fontId="0" fillId="0" borderId="105" xfId="0" applyBorder="1" applyAlignment="1">
      <alignment wrapText="1"/>
    </xf>
    <xf numFmtId="0" fontId="0" fillId="0" borderId="106" xfId="0" applyBorder="1" applyAlignment="1">
      <alignment wrapText="1"/>
    </xf>
    <xf numFmtId="0" fontId="0" fillId="0" borderId="107" xfId="0" applyBorder="1" applyAlignment="1">
      <alignment wrapText="1"/>
    </xf>
    <xf numFmtId="0" fontId="0" fillId="0" borderId="108" xfId="0" applyBorder="1" applyAlignment="1">
      <alignment wrapText="1"/>
    </xf>
    <xf numFmtId="0" fontId="18" fillId="4" borderId="7" xfId="0" applyFont="1" applyFill="1" applyBorder="1"/>
    <xf numFmtId="0" fontId="0" fillId="0" borderId="7" xfId="0" applyBorder="1"/>
    <xf numFmtId="0" fontId="89" fillId="0" borderId="7" xfId="0" applyFont="1" applyBorder="1"/>
    <xf numFmtId="0" fontId="89" fillId="0" borderId="9" xfId="0" applyFont="1" applyBorder="1"/>
    <xf numFmtId="0" fontId="43" fillId="0" borderId="0" xfId="0" applyFont="1" applyAlignment="1">
      <alignment vertical="top" wrapText="1"/>
    </xf>
    <xf numFmtId="0" fontId="0" fillId="0" borderId="0" xfId="0" applyAlignment="1">
      <alignment wrapText="1"/>
    </xf>
    <xf numFmtId="0" fontId="18" fillId="4" borderId="4" xfId="0" applyFont="1" applyFill="1" applyBorder="1"/>
    <xf numFmtId="0" fontId="0" fillId="0" borderId="4" xfId="0" applyBorder="1"/>
    <xf numFmtId="0" fontId="18" fillId="4" borderId="11" xfId="0" applyFont="1" applyFill="1" applyBorder="1"/>
    <xf numFmtId="0" fontId="0" fillId="0" borderId="11" xfId="0" applyBorder="1"/>
    <xf numFmtId="0" fontId="18" fillId="11" borderId="11" xfId="0" applyFont="1" applyFill="1" applyBorder="1"/>
    <xf numFmtId="0" fontId="89" fillId="0" borderId="11" xfId="0" applyFont="1" applyBorder="1"/>
    <xf numFmtId="0" fontId="89" fillId="0" borderId="13" xfId="0" applyFont="1" applyBorder="1"/>
    <xf numFmtId="0" fontId="18" fillId="4" borderId="0" xfId="0" applyFont="1" applyFill="1"/>
    <xf numFmtId="0" fontId="89" fillId="0" borderId="0" xfId="0" applyFont="1"/>
    <xf numFmtId="0" fontId="89" fillId="0" borderId="2" xfId="0" applyFont="1" applyBorder="1"/>
    <xf numFmtId="0" fontId="89" fillId="0" borderId="4" xfId="0" applyFont="1" applyBorder="1"/>
    <xf numFmtId="0" fontId="89" fillId="0" borderId="6" xfId="0" applyFont="1" applyBorder="1"/>
    <xf numFmtId="0" fontId="37" fillId="11" borderId="11" xfId="0" applyFont="1" applyFill="1" applyBorder="1"/>
    <xf numFmtId="0" fontId="37" fillId="4" borderId="0" xfId="0" applyFont="1" applyFill="1"/>
    <xf numFmtId="0" fontId="0" fillId="0" borderId="0" xfId="0"/>
    <xf numFmtId="0" fontId="49" fillId="0" borderId="142" xfId="1" applyFont="1" applyBorder="1" applyAlignment="1">
      <alignment horizontal="left"/>
    </xf>
    <xf numFmtId="0" fontId="8" fillId="0" borderId="143" xfId="1" applyBorder="1" applyAlignment="1">
      <alignment horizontal="left"/>
    </xf>
    <xf numFmtId="0" fontId="8" fillId="0" borderId="149" xfId="1" applyBorder="1" applyAlignment="1">
      <alignment horizontal="left"/>
    </xf>
    <xf numFmtId="0" fontId="49" fillId="0" borderId="150" xfId="1" applyFont="1" applyBorder="1" applyAlignment="1">
      <alignment horizontal="left"/>
    </xf>
    <xf numFmtId="0" fontId="49" fillId="0" borderId="152" xfId="1" applyFont="1" applyBorder="1" applyAlignment="1">
      <alignment horizontal="left"/>
    </xf>
    <xf numFmtId="0" fontId="8" fillId="0" borderId="153" xfId="1" applyBorder="1" applyAlignment="1">
      <alignment horizontal="left"/>
    </xf>
    <xf numFmtId="0" fontId="8" fillId="0" borderId="154" xfId="1" applyBorder="1" applyAlignment="1">
      <alignment horizontal="left"/>
    </xf>
    <xf numFmtId="0" fontId="49" fillId="0" borderId="155" xfId="1" applyFont="1" applyBorder="1" applyAlignment="1">
      <alignment horizontal="left"/>
    </xf>
    <xf numFmtId="0" fontId="49" fillId="0" borderId="137" xfId="1" applyFont="1" applyBorder="1" applyAlignment="1">
      <alignment horizontal="left"/>
    </xf>
    <xf numFmtId="0" fontId="8" fillId="0" borderId="126" xfId="1" applyBorder="1" applyAlignment="1">
      <alignment horizontal="left"/>
    </xf>
    <xf numFmtId="0" fontId="8" fillId="0" borderId="147" xfId="1" applyBorder="1" applyAlignment="1">
      <alignment horizontal="left"/>
    </xf>
    <xf numFmtId="0" fontId="49" fillId="0" borderId="148" xfId="1" applyFont="1" applyBorder="1" applyAlignment="1">
      <alignment horizontal="left"/>
    </xf>
    <xf numFmtId="0" fontId="49" fillId="0" borderId="131" xfId="1" applyFont="1" applyBorder="1" applyAlignment="1">
      <alignment horizontal="left"/>
    </xf>
    <xf numFmtId="0" fontId="8" fillId="0" borderId="132" xfId="1" applyBorder="1" applyAlignment="1">
      <alignment horizontal="left"/>
    </xf>
    <xf numFmtId="0" fontId="8" fillId="0" borderId="134" xfId="1" applyBorder="1" applyAlignment="1">
      <alignment horizontal="left"/>
    </xf>
    <xf numFmtId="0" fontId="49" fillId="0" borderId="133" xfId="1" applyFont="1" applyBorder="1" applyAlignment="1">
      <alignment horizontal="left"/>
    </xf>
    <xf numFmtId="0" fontId="8" fillId="0" borderId="144" xfId="1" applyBorder="1" applyAlignment="1">
      <alignment horizontal="left"/>
    </xf>
    <xf numFmtId="0" fontId="49" fillId="0" borderId="145" xfId="1" applyFont="1" applyBorder="1" applyAlignment="1">
      <alignment horizontal="left"/>
    </xf>
    <xf numFmtId="0" fontId="8" fillId="0" borderId="129" xfId="1" applyBorder="1" applyAlignment="1">
      <alignment horizontal="left"/>
    </xf>
    <xf numFmtId="0" fontId="49" fillId="0" borderId="125" xfId="1" applyFont="1" applyBorder="1" applyAlignment="1">
      <alignment horizontal="left"/>
    </xf>
    <xf numFmtId="0" fontId="49" fillId="0" borderId="133" xfId="1" applyFont="1" applyBorder="1"/>
    <xf numFmtId="0" fontId="8" fillId="0" borderId="132" xfId="1" applyBorder="1"/>
    <xf numFmtId="0" fontId="8" fillId="0" borderId="134" xfId="1" applyBorder="1"/>
    <xf numFmtId="0" fontId="49" fillId="0" borderId="125" xfId="1" applyFont="1" applyBorder="1"/>
    <xf numFmtId="0" fontId="8" fillId="0" borderId="126" xfId="1" applyBorder="1"/>
    <xf numFmtId="0" fontId="8" fillId="0" borderId="129" xfId="1" applyBorder="1"/>
    <xf numFmtId="0" fontId="49" fillId="0" borderId="11" xfId="1" applyFont="1" applyBorder="1" applyAlignment="1">
      <alignment horizontal="left"/>
    </xf>
    <xf numFmtId="0" fontId="8" fillId="0" borderId="11" xfId="1" applyBorder="1" applyAlignment="1">
      <alignment horizontal="left"/>
    </xf>
    <xf numFmtId="0" fontId="8" fillId="0" borderId="13" xfId="1" applyBorder="1" applyAlignment="1">
      <alignment horizontal="left"/>
    </xf>
    <xf numFmtId="0" fontId="49" fillId="0" borderId="8" xfId="1" applyFont="1" applyBorder="1" applyAlignment="1">
      <alignment horizontal="center" vertical="center"/>
    </xf>
    <xf numFmtId="0" fontId="8" fillId="0" borderId="7" xfId="1" applyBorder="1" applyAlignment="1">
      <alignment horizontal="center" vertical="center"/>
    </xf>
    <xf numFmtId="0" fontId="8" fillId="0" borderId="124" xfId="1" applyBorder="1" applyAlignment="1">
      <alignment horizontal="center" vertical="center"/>
    </xf>
    <xf numFmtId="0" fontId="49" fillId="0" borderId="11" xfId="1" applyFont="1" applyBorder="1"/>
    <xf numFmtId="0" fontId="8" fillId="0" borderId="11" xfId="1" applyBorder="1"/>
    <xf numFmtId="0" fontId="8" fillId="0" borderId="13" xfId="1" applyBorder="1"/>
    <xf numFmtId="0" fontId="49" fillId="0" borderId="120" xfId="1" applyFont="1" applyBorder="1"/>
    <xf numFmtId="0" fontId="8" fillId="0" borderId="120" xfId="1" applyBorder="1"/>
    <xf numFmtId="0" fontId="8" fillId="0" borderId="121" xfId="1" applyBorder="1"/>
    <xf numFmtId="0" fontId="49" fillId="0" borderId="120" xfId="1" applyFont="1" applyBorder="1" applyAlignment="1">
      <alignment horizontal="left"/>
    </xf>
    <xf numFmtId="0" fontId="8" fillId="0" borderId="120" xfId="1" applyBorder="1" applyAlignment="1">
      <alignment horizontal="left"/>
    </xf>
    <xf numFmtId="0" fontId="8" fillId="0" borderId="121" xfId="1" applyBorder="1" applyAlignment="1">
      <alignment horizontal="left"/>
    </xf>
    <xf numFmtId="0" fontId="23" fillId="0" borderId="122" xfId="1" applyFont="1" applyBorder="1" applyAlignment="1">
      <alignment horizontal="center" vertical="center"/>
    </xf>
    <xf numFmtId="0" fontId="8" fillId="0" borderId="19" xfId="1" applyBorder="1" applyAlignment="1">
      <alignment horizontal="center" vertical="center"/>
    </xf>
    <xf numFmtId="0" fontId="8" fillId="0" borderId="17" xfId="1" applyBorder="1" applyAlignment="1">
      <alignment horizontal="center" vertical="center"/>
    </xf>
    <xf numFmtId="0" fontId="18" fillId="32" borderId="1" xfId="0" applyFont="1" applyFill="1" applyBorder="1" applyAlignment="1">
      <alignment horizontal="left" vertical="top" wrapText="1"/>
    </xf>
    <xf numFmtId="0" fontId="26" fillId="32" borderId="0" xfId="0" applyFont="1" applyFill="1" applyAlignment="1">
      <alignment horizontal="left" vertical="top" wrapText="1"/>
    </xf>
    <xf numFmtId="0" fontId="26" fillId="0" borderId="0" xfId="0" applyFont="1" applyAlignment="1">
      <alignment horizontal="left" vertical="top" wrapText="1"/>
    </xf>
    <xf numFmtId="0" fontId="26" fillId="32" borderId="1" xfId="0" applyFont="1" applyFill="1" applyBorder="1" applyAlignment="1">
      <alignment horizontal="left" vertical="top" wrapText="1"/>
    </xf>
    <xf numFmtId="0" fontId="18" fillId="0" borderId="0" xfId="0" applyFont="1" applyAlignment="1">
      <alignment horizontal="left" vertical="top" wrapText="1"/>
    </xf>
    <xf numFmtId="0" fontId="0" fillId="0" borderId="0" xfId="0" applyAlignment="1">
      <alignment horizontal="left" vertical="top" wrapText="1"/>
    </xf>
    <xf numFmtId="0" fontId="18" fillId="0" borderId="20" xfId="0" applyFont="1" applyBorder="1" applyAlignment="1">
      <alignment horizontal="left" vertical="top" wrapText="1" readingOrder="1"/>
    </xf>
    <xf numFmtId="0" fontId="0" fillId="0" borderId="0" xfId="0" applyAlignment="1">
      <alignment horizontal="left" vertical="top" wrapText="1" readingOrder="1"/>
    </xf>
    <xf numFmtId="0" fontId="0" fillId="0" borderId="21" xfId="0" applyBorder="1" applyAlignment="1">
      <alignment horizontal="left" vertical="top" wrapText="1" readingOrder="1"/>
    </xf>
    <xf numFmtId="0" fontId="0" fillId="0" borderId="20" xfId="0" applyBorder="1" applyAlignment="1">
      <alignment horizontal="left" vertical="top" wrapText="1" readingOrder="1"/>
    </xf>
    <xf numFmtId="0" fontId="17" fillId="0" borderId="0" xfId="0" applyFont="1" applyAlignment="1">
      <alignment horizontal="left" vertical="top" wrapText="1" readingOrder="1"/>
    </xf>
    <xf numFmtId="0" fontId="17" fillId="0" borderId="21" xfId="0" applyFont="1" applyBorder="1" applyAlignment="1">
      <alignment horizontal="left" vertical="top" wrapText="1" readingOrder="1"/>
    </xf>
    <xf numFmtId="0" fontId="17" fillId="0" borderId="20" xfId="0" applyFont="1" applyBorder="1" applyAlignment="1">
      <alignment horizontal="left" vertical="top" wrapText="1" readingOrder="1"/>
    </xf>
    <xf numFmtId="0" fontId="58" fillId="0" borderId="20" xfId="0" applyFont="1" applyBorder="1" applyAlignment="1">
      <alignment horizontal="left" vertical="top" wrapText="1" readingOrder="1"/>
    </xf>
    <xf numFmtId="0" fontId="23" fillId="0" borderId="0" xfId="0" applyFont="1" applyAlignment="1">
      <alignment horizontal="left" vertical="top" wrapText="1" readingOrder="1"/>
    </xf>
    <xf numFmtId="0" fontId="23" fillId="0" borderId="21" xfId="0" applyFont="1" applyBorder="1" applyAlignment="1">
      <alignment horizontal="left" vertical="top" wrapText="1" readingOrder="1"/>
    </xf>
    <xf numFmtId="0" fontId="23" fillId="0" borderId="20" xfId="0" applyFont="1" applyBorder="1" applyAlignment="1">
      <alignment horizontal="left" vertical="top" wrapText="1" readingOrder="1"/>
    </xf>
    <xf numFmtId="0" fontId="15" fillId="0" borderId="0" xfId="0" applyFont="1" applyAlignment="1">
      <alignment horizontal="left" vertical="top" wrapText="1" readingOrder="1"/>
    </xf>
    <xf numFmtId="0" fontId="15" fillId="0" borderId="21" xfId="0" applyFont="1" applyBorder="1" applyAlignment="1">
      <alignment horizontal="left" vertical="top" wrapText="1" readingOrder="1"/>
    </xf>
    <xf numFmtId="0" fontId="15" fillId="0" borderId="20" xfId="0" applyFont="1" applyBorder="1" applyAlignment="1">
      <alignment horizontal="left" vertical="top" wrapText="1" readingOrder="1"/>
    </xf>
    <xf numFmtId="0" fontId="131" fillId="0" borderId="25" xfId="0" applyFont="1" applyBorder="1"/>
    <xf numFmtId="0" fontId="31" fillId="0" borderId="13" xfId="0" applyFont="1" applyBorder="1"/>
    <xf numFmtId="0" fontId="132" fillId="0" borderId="25" xfId="0" applyFont="1" applyBorder="1"/>
    <xf numFmtId="0" fontId="120" fillId="0" borderId="25" xfId="0" applyFont="1" applyBorder="1"/>
    <xf numFmtId="0" fontId="0" fillId="0" borderId="13" xfId="0" applyBorder="1"/>
    <xf numFmtId="0" fontId="120" fillId="0" borderId="159" xfId="0" applyFont="1" applyBorder="1"/>
    <xf numFmtId="0" fontId="0" fillId="0" borderId="51" xfId="0" applyBorder="1"/>
    <xf numFmtId="0" fontId="18" fillId="2" borderId="14" xfId="0" applyFont="1" applyFill="1" applyBorder="1" applyAlignment="1">
      <alignment horizontal="left"/>
    </xf>
    <xf numFmtId="0" fontId="18" fillId="2" borderId="14" xfId="0" applyFont="1" applyFill="1" applyBorder="1"/>
    <xf numFmtId="0" fontId="23" fillId="2" borderId="14" xfId="0" applyFont="1" applyFill="1" applyBorder="1"/>
    <xf numFmtId="0" fontId="18" fillId="13" borderId="14" xfId="0" applyFont="1" applyFill="1" applyBorder="1" applyAlignment="1">
      <alignment horizontal="left"/>
    </xf>
    <xf numFmtId="0" fontId="18" fillId="13" borderId="14" xfId="0" applyFont="1" applyFill="1" applyBorder="1"/>
    <xf numFmtId="0" fontId="23" fillId="13" borderId="14" xfId="0" applyFont="1" applyFill="1" applyBorder="1"/>
    <xf numFmtId="0" fontId="18"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1" xfId="0" applyFont="1" applyBorder="1" applyAlignment="1">
      <alignment horizontal="left" vertical="top" wrapText="1"/>
    </xf>
    <xf numFmtId="0" fontId="37" fillId="0" borderId="5" xfId="0" applyFont="1"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15" fillId="0" borderId="107" xfId="0" applyFont="1" applyBorder="1" applyAlignment="1">
      <alignment horizontal="center"/>
    </xf>
    <xf numFmtId="0" fontId="37" fillId="0" borderId="0" xfId="1" applyFont="1" applyAlignment="1">
      <alignment horizontal="left" vertical="top" wrapText="1"/>
    </xf>
    <xf numFmtId="0" fontId="18" fillId="0" borderId="0" xfId="1" applyFont="1" applyAlignment="1">
      <alignment horizontal="left" vertical="top" wrapText="1"/>
    </xf>
    <xf numFmtId="0" fontId="23" fillId="2" borderId="21" xfId="0" applyFont="1" applyFill="1" applyBorder="1" applyAlignment="1">
      <alignment horizontal="right" vertical="top"/>
    </xf>
    <xf numFmtId="0" fontId="0" fillId="0" borderId="21" xfId="0" applyBorder="1" applyAlignment="1">
      <alignment horizontal="right" vertical="top"/>
    </xf>
    <xf numFmtId="0" fontId="23" fillId="2" borderId="24" xfId="0" applyFont="1" applyFill="1" applyBorder="1" applyAlignment="1">
      <alignment horizontal="right" vertical="top"/>
    </xf>
    <xf numFmtId="0" fontId="0" fillId="0" borderId="24" xfId="0" applyBorder="1" applyAlignment="1">
      <alignment horizontal="right" vertical="top"/>
    </xf>
    <xf numFmtId="0" fontId="15" fillId="2" borderId="18" xfId="0" applyFont="1" applyFill="1" applyBorder="1" applyAlignment="1">
      <alignment horizontal="left" vertical="top"/>
    </xf>
    <xf numFmtId="0" fontId="0" fillId="0" borderId="19" xfId="0" applyBorder="1" applyAlignment="1">
      <alignment horizontal="left" vertical="top"/>
    </xf>
    <xf numFmtId="0" fontId="15" fillId="2" borderId="20" xfId="0" applyFont="1" applyFill="1" applyBorder="1" applyAlignment="1">
      <alignment horizontal="left" vertical="top"/>
    </xf>
    <xf numFmtId="0" fontId="0" fillId="0" borderId="0" xfId="0" applyAlignment="1">
      <alignment horizontal="left" vertical="top"/>
    </xf>
    <xf numFmtId="0" fontId="23" fillId="2" borderId="22" xfId="0" applyFont="1" applyFill="1" applyBorder="1" applyAlignment="1">
      <alignment horizontal="left" vertical="top"/>
    </xf>
    <xf numFmtId="0" fontId="89" fillId="0" borderId="23" xfId="0" applyFont="1" applyBorder="1" applyAlignment="1">
      <alignment horizontal="left" vertical="top"/>
    </xf>
    <xf numFmtId="0" fontId="23" fillId="2" borderId="17" xfId="0" applyFont="1" applyFill="1" applyBorder="1" applyAlignment="1">
      <alignment horizontal="right" vertical="top"/>
    </xf>
    <xf numFmtId="0" fontId="0" fillId="0" borderId="17" xfId="0" applyBorder="1" applyAlignment="1">
      <alignment horizontal="right" vertical="top"/>
    </xf>
    <xf numFmtId="0" fontId="29" fillId="34" borderId="0" xfId="0" applyFont="1" applyFill="1" applyAlignment="1">
      <alignment horizontal="right"/>
    </xf>
    <xf numFmtId="0" fontId="0" fillId="0" borderId="21" xfId="0" applyBorder="1" applyAlignment="1">
      <alignment horizontal="right"/>
    </xf>
    <xf numFmtId="0" fontId="29" fillId="34" borderId="23" xfId="0" applyFont="1" applyFill="1" applyBorder="1" applyAlignment="1">
      <alignment horizontal="right"/>
    </xf>
    <xf numFmtId="0" fontId="0" fillId="0" borderId="24" xfId="0" applyBorder="1" applyAlignment="1">
      <alignment horizontal="right"/>
    </xf>
    <xf numFmtId="0" fontId="29" fillId="34" borderId="19" xfId="0" applyFont="1" applyFill="1" applyBorder="1"/>
    <xf numFmtId="0" fontId="0" fillId="0" borderId="17" xfId="0" applyBorder="1"/>
    <xf numFmtId="0" fontId="23" fillId="0" borderId="0" xfId="0" applyFont="1" applyAlignment="1">
      <alignment horizontal="center" vertical="center"/>
    </xf>
    <xf numFmtId="0" fontId="18" fillId="0" borderId="0" xfId="0" applyFont="1" applyAlignment="1">
      <alignment horizontal="left" wrapText="1"/>
    </xf>
    <xf numFmtId="0" fontId="0" fillId="0" borderId="0" xfId="0" applyAlignment="1">
      <alignment horizontal="left" wrapText="1"/>
    </xf>
    <xf numFmtId="0" fontId="23" fillId="0" borderId="0" xfId="0" applyFont="1" applyAlignment="1">
      <alignment horizontal="left" wrapText="1"/>
    </xf>
    <xf numFmtId="0" fontId="17" fillId="0" borderId="11" xfId="0" applyFont="1" applyBorder="1" applyAlignment="1">
      <alignment horizontal="center" vertical="center"/>
    </xf>
    <xf numFmtId="0" fontId="0" fillId="0" borderId="11" xfId="0" applyBorder="1" applyAlignment="1">
      <alignment horizontal="center"/>
    </xf>
    <xf numFmtId="0" fontId="23" fillId="0" borderId="0" xfId="0" applyFont="1" applyAlignment="1">
      <alignment horizontal="left" vertical="center"/>
    </xf>
    <xf numFmtId="0" fontId="0" fillId="0" borderId="0" xfId="0" applyAlignment="1">
      <alignment horizontal="left"/>
    </xf>
    <xf numFmtId="0" fontId="17" fillId="0" borderId="11" xfId="0" applyFont="1" applyBorder="1" applyAlignment="1">
      <alignment horizontal="left" vertical="center"/>
    </xf>
    <xf numFmtId="0" fontId="0" fillId="0" borderId="11" xfId="0" applyBorder="1" applyAlignment="1">
      <alignment horizontal="left"/>
    </xf>
    <xf numFmtId="0" fontId="18" fillId="0" borderId="0" xfId="0" applyFont="1" applyAlignment="1">
      <alignment horizontal="center" vertical="center"/>
    </xf>
    <xf numFmtId="0" fontId="23" fillId="0" borderId="14" xfId="0" applyFont="1" applyBorder="1" applyAlignment="1">
      <alignment horizontal="left"/>
    </xf>
    <xf numFmtId="0" fontId="0" fillId="0" borderId="14" xfId="0" applyBorder="1" applyAlignment="1">
      <alignment horizontal="left"/>
    </xf>
    <xf numFmtId="0" fontId="29" fillId="3" borderId="0" xfId="0" applyFont="1" applyFill="1" applyAlignment="1">
      <alignment horizontal="right" vertical="center" wrapText="1"/>
    </xf>
    <xf numFmtId="0" fontId="30" fillId="3" borderId="0" xfId="0" applyFont="1" applyFill="1" applyAlignment="1">
      <alignment horizontal="right" wrapText="1"/>
    </xf>
    <xf numFmtId="0" fontId="23" fillId="2" borderId="20" xfId="0" applyFont="1" applyFill="1" applyBorder="1" applyAlignment="1">
      <alignment horizontal="left" vertical="top"/>
    </xf>
    <xf numFmtId="0" fontId="89" fillId="0" borderId="0" xfId="0" applyFont="1" applyAlignment="1">
      <alignment horizontal="left" vertical="top"/>
    </xf>
    <xf numFmtId="0" fontId="29" fillId="34" borderId="20" xfId="0" applyFont="1" applyFill="1" applyBorder="1" applyAlignment="1">
      <alignment horizontal="left" vertical="center"/>
    </xf>
    <xf numFmtId="0" fontId="30" fillId="34" borderId="0" xfId="0" applyFont="1" applyFill="1" applyAlignment="1">
      <alignment horizontal="left"/>
    </xf>
    <xf numFmtId="0" fontId="133" fillId="34" borderId="20" xfId="0" applyFont="1" applyFill="1" applyBorder="1" applyAlignment="1">
      <alignment horizontal="left" vertical="center"/>
    </xf>
    <xf numFmtId="0" fontId="134" fillId="34" borderId="0" xfId="0" applyFont="1" applyFill="1" applyAlignment="1">
      <alignment horizontal="left"/>
    </xf>
    <xf numFmtId="0" fontId="29" fillId="34" borderId="20" xfId="0" applyFont="1" applyFill="1" applyBorder="1" applyAlignment="1">
      <alignment horizontal="left" vertical="top"/>
    </xf>
    <xf numFmtId="0" fontId="29" fillId="34" borderId="0" xfId="0" applyFont="1" applyFill="1" applyAlignment="1">
      <alignment horizontal="left" vertical="top"/>
    </xf>
    <xf numFmtId="0" fontId="30" fillId="34" borderId="0" xfId="0" applyFont="1" applyFill="1" applyAlignment="1">
      <alignment horizontal="left" vertical="top"/>
    </xf>
    <xf numFmtId="0" fontId="37" fillId="34" borderId="22" xfId="0" applyFont="1" applyFill="1" applyBorder="1" applyAlignment="1">
      <alignment horizontal="left" vertical="top"/>
    </xf>
    <xf numFmtId="0" fontId="37" fillId="34" borderId="23" xfId="0" applyFont="1" applyFill="1" applyBorder="1" applyAlignment="1">
      <alignment horizontal="left" vertical="top"/>
    </xf>
    <xf numFmtId="0" fontId="57" fillId="34" borderId="23" xfId="0" applyFont="1" applyFill="1" applyBorder="1" applyAlignment="1">
      <alignment horizontal="left" vertical="top"/>
    </xf>
    <xf numFmtId="0" fontId="23" fillId="4" borderId="0" xfId="0" applyFont="1" applyFill="1" applyAlignment="1">
      <alignment horizontal="right" vertical="center" wrapText="1"/>
    </xf>
    <xf numFmtId="0" fontId="89" fillId="4" borderId="21" xfId="0" applyFont="1" applyFill="1" applyBorder="1" applyAlignment="1">
      <alignment horizontal="right" wrapText="1"/>
    </xf>
    <xf numFmtId="0" fontId="29" fillId="3" borderId="0" xfId="0" applyFont="1" applyFill="1" applyAlignment="1">
      <alignment horizontal="left" vertical="top"/>
    </xf>
    <xf numFmtId="0" fontId="30" fillId="3" borderId="0" xfId="0" applyFont="1" applyFill="1" applyAlignment="1">
      <alignment horizontal="left" vertical="top"/>
    </xf>
    <xf numFmtId="0" fontId="30" fillId="3" borderId="21" xfId="0" applyFont="1" applyFill="1" applyBorder="1" applyAlignment="1">
      <alignment horizontal="right" wrapText="1"/>
    </xf>
    <xf numFmtId="0" fontId="29" fillId="3" borderId="20" xfId="0" applyFont="1" applyFill="1" applyBorder="1" applyAlignment="1">
      <alignment horizontal="left" vertical="center"/>
    </xf>
    <xf numFmtId="0" fontId="30" fillId="3" borderId="0" xfId="0" applyFont="1" applyFill="1"/>
    <xf numFmtId="0" fontId="29" fillId="3" borderId="23" xfId="0" applyFont="1" applyFill="1" applyBorder="1" applyAlignment="1">
      <alignment horizontal="right" vertical="center" wrapText="1"/>
    </xf>
    <xf numFmtId="0" fontId="30" fillId="3" borderId="23" xfId="0" applyFont="1" applyFill="1" applyBorder="1" applyAlignment="1">
      <alignment horizontal="right" wrapText="1"/>
    </xf>
    <xf numFmtId="0" fontId="23" fillId="0" borderId="12" xfId="0" applyFont="1" applyBorder="1" applyAlignment="1">
      <alignment horizontal="right" vertical="top"/>
    </xf>
    <xf numFmtId="0" fontId="0" fillId="0" borderId="13" xfId="0" applyBorder="1" applyAlignment="1">
      <alignment horizontal="right" vertical="top"/>
    </xf>
    <xf numFmtId="0" fontId="23" fillId="0" borderId="4" xfId="0" applyFont="1" applyBorder="1" applyAlignment="1">
      <alignment horizontal="right" vertical="top"/>
    </xf>
    <xf numFmtId="0" fontId="0" fillId="0" borderId="6" xfId="0" applyBorder="1" applyAlignment="1">
      <alignment horizontal="right" vertical="top"/>
    </xf>
    <xf numFmtId="0" fontId="23" fillId="0" borderId="0" xfId="0" applyFont="1" applyAlignment="1">
      <alignment horizontal="left" vertical="top"/>
    </xf>
    <xf numFmtId="0" fontId="23" fillId="0" borderId="7" xfId="0" applyFont="1" applyBorder="1" applyAlignment="1">
      <alignment horizontal="left" vertical="top"/>
    </xf>
    <xf numFmtId="0" fontId="0" fillId="0" borderId="7" xfId="0" applyBorder="1" applyAlignment="1">
      <alignment horizontal="left" vertical="top"/>
    </xf>
    <xf numFmtId="0" fontId="23" fillId="0" borderId="0" xfId="0" applyFont="1" applyAlignment="1">
      <alignment horizontal="right" vertical="top"/>
    </xf>
    <xf numFmtId="0" fontId="0" fillId="0" borderId="2" xfId="0" applyBorder="1" applyAlignment="1">
      <alignment horizontal="right" vertical="top"/>
    </xf>
    <xf numFmtId="0" fontId="23" fillId="0" borderId="7" xfId="0" applyFont="1" applyBorder="1" applyAlignment="1">
      <alignment horizontal="right" vertical="top"/>
    </xf>
    <xf numFmtId="0" fontId="0" fillId="0" borderId="9" xfId="0" applyBorder="1" applyAlignment="1">
      <alignment horizontal="right" vertical="top"/>
    </xf>
    <xf numFmtId="0" fontId="23" fillId="0" borderId="4" xfId="0" applyFont="1" applyBorder="1" applyAlignment="1">
      <alignment horizontal="left" vertical="top"/>
    </xf>
    <xf numFmtId="0" fontId="0" fillId="0" borderId="4" xfId="0" applyBorder="1" applyAlignment="1">
      <alignment horizontal="left" vertical="top"/>
    </xf>
    <xf numFmtId="0" fontId="23" fillId="0" borderId="0" xfId="0" applyFont="1" applyAlignment="1">
      <alignment horizontal="left" vertical="top" wrapText="1"/>
    </xf>
    <xf numFmtId="0" fontId="15" fillId="0" borderId="7" xfId="0" applyFont="1" applyBorder="1" applyAlignment="1">
      <alignment horizontal="left" vertical="top"/>
    </xf>
    <xf numFmtId="0" fontId="15" fillId="0" borderId="7" xfId="0" applyFont="1" applyBorder="1" applyAlignment="1">
      <alignment horizontal="center" vertical="top"/>
    </xf>
    <xf numFmtId="0" fontId="49" fillId="4" borderId="2" xfId="0" applyFont="1" applyFill="1" applyBorder="1" applyAlignment="1">
      <alignment vertical="top"/>
    </xf>
    <xf numFmtId="0" fontId="0" fillId="0" borderId="2" xfId="0" applyBorder="1"/>
    <xf numFmtId="0" fontId="49" fillId="4" borderId="0" xfId="0" applyFont="1" applyFill="1" applyAlignment="1">
      <alignment vertical="top"/>
    </xf>
    <xf numFmtId="0" fontId="49" fillId="0" borderId="2" xfId="0" applyFont="1" applyBorder="1" applyAlignment="1">
      <alignment vertical="top"/>
    </xf>
    <xf numFmtId="0" fontId="49" fillId="2" borderId="2" xfId="0" applyFont="1" applyFill="1" applyBorder="1" applyAlignment="1">
      <alignment vertical="top"/>
    </xf>
    <xf numFmtId="0" fontId="49" fillId="0" borderId="7" xfId="0" applyFont="1" applyBorder="1" applyAlignment="1">
      <alignment vertical="top"/>
    </xf>
    <xf numFmtId="0" fontId="0" fillId="0" borderId="9" xfId="0" applyBorder="1"/>
    <xf numFmtId="0" fontId="18" fillId="0" borderId="0" xfId="1" applyFont="1" applyAlignment="1">
      <alignment horizontal="center" vertical="center"/>
    </xf>
    <xf numFmtId="0" fontId="87" fillId="0" borderId="11" xfId="1" applyFont="1" applyBorder="1" applyAlignment="1">
      <alignment vertical="center"/>
    </xf>
    <xf numFmtId="0" fontId="87" fillId="0" borderId="11" xfId="1" applyFont="1" applyBorder="1" applyAlignment="1">
      <alignment horizontal="center" vertical="center"/>
    </xf>
    <xf numFmtId="0" fontId="8" fillId="0" borderId="11" xfId="1" applyBorder="1" applyAlignment="1">
      <alignment horizontal="center" vertical="center"/>
    </xf>
    <xf numFmtId="0" fontId="96" fillId="0" borderId="0" xfId="1" applyFont="1" applyAlignment="1">
      <alignment vertical="center"/>
    </xf>
    <xf numFmtId="0" fontId="96" fillId="0" borderId="0" xfId="1" applyFont="1"/>
    <xf numFmtId="0" fontId="60" fillId="0" borderId="0" xfId="1" applyFont="1" applyAlignment="1">
      <alignment vertical="center" wrapText="1"/>
    </xf>
    <xf numFmtId="0" fontId="8" fillId="0" borderId="0" xfId="1" applyAlignment="1">
      <alignment wrapText="1"/>
    </xf>
    <xf numFmtId="0" fontId="60" fillId="0" borderId="0" xfId="1" applyFont="1" applyAlignment="1">
      <alignment horizontal="left" vertical="top" wrapText="1"/>
    </xf>
    <xf numFmtId="0" fontId="8" fillId="0" borderId="0" xfId="1" applyAlignment="1">
      <alignment horizontal="left" vertical="top" wrapText="1"/>
    </xf>
    <xf numFmtId="0" fontId="60" fillId="0" borderId="0" xfId="1" applyFont="1" applyAlignment="1">
      <alignment horizontal="center" vertical="center"/>
    </xf>
    <xf numFmtId="3" fontId="60" fillId="0" borderId="0" xfId="1" applyNumberFormat="1" applyFont="1" applyAlignment="1">
      <alignment horizontal="center" vertical="center"/>
    </xf>
    <xf numFmtId="0" fontId="47" fillId="0" borderId="0" xfId="1" applyFont="1" applyAlignment="1">
      <alignment horizontal="left" vertical="top" wrapText="1"/>
    </xf>
    <xf numFmtId="0" fontId="8" fillId="0" borderId="0" xfId="1"/>
    <xf numFmtId="0" fontId="18" fillId="0" borderId="0" xfId="1" applyFont="1" applyAlignment="1">
      <alignment horizontal="left" vertical="top" wrapText="1" indent="1"/>
    </xf>
    <xf numFmtId="0" fontId="8" fillId="0" borderId="0" xfId="1" applyAlignment="1">
      <alignment horizontal="left" vertical="top" wrapText="1" indent="1"/>
    </xf>
  </cellXfs>
  <cellStyles count="4">
    <cellStyle name="Normal" xfId="0" builtinId="0"/>
    <cellStyle name="Normal 2" xfId="1" xr:uid="{B7CCE0F6-F805-4BA9-B241-A737DEC7ECF4}"/>
    <cellStyle name="Normal 2 2" xfId="3" xr:uid="{91F45001-B051-477E-8CB2-FC79B21E373B}"/>
    <cellStyle name="Normal 3" xfId="2" xr:uid="{B51498A3-4FA5-4BCE-A06E-23CC3DC68A4B}"/>
  </cellStyles>
  <dxfs count="21">
    <dxf>
      <font>
        <b val="0"/>
        <i val="0"/>
        <strike val="0"/>
        <condense val="0"/>
        <extend val="0"/>
        <outline val="0"/>
        <shadow val="0"/>
        <u val="none"/>
        <vertAlign val="baseline"/>
        <sz val="8"/>
        <color auto="1"/>
        <name val="Mirage"/>
        <family val="1"/>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Mirage"/>
        <family val="1"/>
        <scheme val="none"/>
      </font>
      <alignment horizontal="left" vertical="top" textRotation="0" wrapText="1" indent="0" justifyLastLine="0" shrinkToFit="0" readingOrder="0"/>
      <border diagonalUp="0" diagonalDown="0" outline="0">
        <left/>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Mirage"/>
        <family val="1"/>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Mirage"/>
        <family val="1"/>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Mirage"/>
        <family val="1"/>
        <scheme val="none"/>
      </font>
      <alignment horizontal="left" vertical="top" textRotation="0" wrapText="1" indent="0" justifyLastLine="0" shrinkToFit="0" readingOrder="0"/>
    </dxf>
    <dxf>
      <font>
        <b val="0"/>
        <i val="0"/>
        <strike val="0"/>
        <condense val="0"/>
        <extend val="0"/>
        <outline val="0"/>
        <shadow val="0"/>
        <u val="none"/>
        <vertAlign val="baseline"/>
        <sz val="9"/>
        <color auto="1"/>
        <name val="Mirage"/>
        <family val="1"/>
        <scheme val="none"/>
      </font>
      <alignment horizontal="left" vertical="top" textRotation="0" wrapText="1" indent="0" justifyLastLine="0" shrinkToFit="0" readingOrder="0"/>
      <border diagonalUp="0" diagonalDown="0" outline="0">
        <left/>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Mirage"/>
        <family val="1"/>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Mirage"/>
        <family val="1"/>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Mirage"/>
        <family val="1"/>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9"/>
        <color auto="1"/>
        <name val="Mirage"/>
        <family val="1"/>
        <scheme val="none"/>
      </font>
      <alignment horizontal="left" vertical="top" textRotation="0" wrapText="1" indent="0" justifyLastLine="0" shrinkToFit="0" readingOrder="0"/>
      <border diagonalUp="0" diagonalDown="0" outline="0">
        <left/>
        <right/>
        <top/>
        <bottom/>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Mirage"/>
        <family val="1"/>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8"/>
        <color auto="1"/>
        <name val="Mirage"/>
        <family val="1"/>
        <scheme val="none"/>
      </font>
      <alignment horizontal="left" vertical="top" textRotation="0" wrapText="1" indent="0" justifyLastLine="0" shrinkToFit="0" readingOrder="0"/>
      <protection locked="0" hidden="0"/>
    </dxf>
    <dxf>
      <font>
        <strike val="0"/>
      </font>
      <fill>
        <patternFill>
          <bgColor theme="2"/>
        </patternFill>
      </fill>
    </dxf>
    <dxf>
      <border>
        <vertical/>
        <horizontal/>
      </border>
    </dxf>
    <dxf>
      <border diagonalUp="0" diagonalDown="0">
        <left style="thin">
          <color auto="1"/>
        </left>
        <right style="thin">
          <color auto="1"/>
        </right>
        <top style="thin">
          <color auto="1"/>
        </top>
        <bottom style="thin">
          <color auto="1"/>
        </bottom>
        <vertical/>
        <horizontal/>
      </border>
    </dxf>
    <dxf>
      <fill>
        <patternFill patternType="none">
          <bgColor auto="1"/>
        </patternFill>
      </fill>
    </dxf>
    <dxf>
      <fill>
        <patternFill>
          <bgColor theme="2"/>
        </patternFill>
      </fill>
    </dxf>
    <dxf>
      <font>
        <strike val="0"/>
      </font>
    </dxf>
  </dxfs>
  <tableStyles count="3" defaultTableStyle="TableStyleMedium2" defaultPivotStyle="PivotStyleLight16">
    <tableStyle name="CastingList" pivot="0" count="0" xr9:uid="{519C5196-730F-4793-9C0A-71CB50002F9D}"/>
    <tableStyle name="Table Style 1" pivot="0" count="3" xr9:uid="{8120E997-EE30-44FD-ACF5-A144B80674B3}">
      <tableStyleElement type="headerRow" dxfId="20"/>
      <tableStyleElement type="firstRowStripe" size="2" dxfId="19"/>
      <tableStyleElement type="secondRowStripe" dxfId="18"/>
    </tableStyle>
    <tableStyle name="Table Style 2" pivot="0" count="3" xr9:uid="{FE37CF05-D9DD-44CA-99DE-CB5D738FE0F4}">
      <tableStyleElement type="wholeTable" dxfId="17"/>
      <tableStyleElement type="headerRow" dxfId="16"/>
      <tableStyleElement type="firstRowStripe" dxfId="15"/>
    </tableStyle>
  </tableStyles>
  <colors>
    <mruColors>
      <color rgb="FFC5C1FF"/>
      <color rgb="FFB8B3FF"/>
      <color rgb="FFE2CFF1"/>
      <color rgb="FFD9FEA8"/>
      <color rgb="FFA7FFCF"/>
      <color rgb="FFFFFF93"/>
      <color rgb="FFFFD5D5"/>
      <color rgb="FFFF9393"/>
      <color rgb="FFEDE2F6"/>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42</xdr:row>
      <xdr:rowOff>66675</xdr:rowOff>
    </xdr:from>
    <xdr:to>
      <xdr:col>11</xdr:col>
      <xdr:colOff>447092</xdr:colOff>
      <xdr:row>77</xdr:row>
      <xdr:rowOff>161033</xdr:rowOff>
    </xdr:to>
    <xdr:pic>
      <xdr:nvPicPr>
        <xdr:cNvPr id="2" name="Picture 1">
          <a:extLst>
            <a:ext uri="{FF2B5EF4-FFF2-40B4-BE49-F238E27FC236}">
              <a16:creationId xmlns:a16="http://schemas.microsoft.com/office/drawing/2014/main" id="{64576167-26C2-27AA-2DFA-FC6B295081A1}"/>
            </a:ext>
          </a:extLst>
        </xdr:cNvPr>
        <xdr:cNvPicPr>
          <a:picLocks noChangeAspect="1"/>
        </xdr:cNvPicPr>
      </xdr:nvPicPr>
      <xdr:blipFill>
        <a:blip xmlns:r="http://schemas.openxmlformats.org/officeDocument/2006/relationships" r:embed="rId1"/>
        <a:stretch>
          <a:fillRect/>
        </a:stretch>
      </xdr:blipFill>
      <xdr:spPr>
        <a:xfrm>
          <a:off x="133351" y="6981825"/>
          <a:ext cx="6400216" cy="5761733"/>
        </a:xfrm>
        <a:prstGeom prst="rect">
          <a:avLst/>
        </a:prstGeom>
      </xdr:spPr>
    </xdr:pic>
    <xdr:clientData/>
  </xdr:twoCellAnchor>
  <xdr:twoCellAnchor editAs="oneCell">
    <xdr:from>
      <xdr:col>0</xdr:col>
      <xdr:colOff>57151</xdr:colOff>
      <xdr:row>84</xdr:row>
      <xdr:rowOff>114299</xdr:rowOff>
    </xdr:from>
    <xdr:to>
      <xdr:col>15</xdr:col>
      <xdr:colOff>368680</xdr:colOff>
      <xdr:row>107</xdr:row>
      <xdr:rowOff>123081</xdr:rowOff>
    </xdr:to>
    <xdr:pic>
      <xdr:nvPicPr>
        <xdr:cNvPr id="3" name="Picture 2">
          <a:extLst>
            <a:ext uri="{FF2B5EF4-FFF2-40B4-BE49-F238E27FC236}">
              <a16:creationId xmlns:a16="http://schemas.microsoft.com/office/drawing/2014/main" id="{B715BA64-CCD4-F05E-5816-7CEEFEB0FF99}"/>
            </a:ext>
          </a:extLst>
        </xdr:cNvPr>
        <xdr:cNvPicPr>
          <a:picLocks noChangeAspect="1"/>
        </xdr:cNvPicPr>
      </xdr:nvPicPr>
      <xdr:blipFill>
        <a:blip xmlns:r="http://schemas.openxmlformats.org/officeDocument/2006/relationships" r:embed="rId2"/>
        <a:stretch>
          <a:fillRect/>
        </a:stretch>
      </xdr:blipFill>
      <xdr:spPr>
        <a:xfrm>
          <a:off x="57151" y="13830299"/>
          <a:ext cx="9141204" cy="3733057"/>
        </a:xfrm>
        <a:prstGeom prst="rect">
          <a:avLst/>
        </a:prstGeom>
      </xdr:spPr>
    </xdr:pic>
    <xdr:clientData/>
  </xdr:twoCellAnchor>
  <xdr:twoCellAnchor editAs="oneCell">
    <xdr:from>
      <xdr:col>0</xdr:col>
      <xdr:colOff>76201</xdr:colOff>
      <xdr:row>122</xdr:row>
      <xdr:rowOff>129903</xdr:rowOff>
    </xdr:from>
    <xdr:to>
      <xdr:col>11</xdr:col>
      <xdr:colOff>190500</xdr:colOff>
      <xdr:row>148</xdr:row>
      <xdr:rowOff>135911</xdr:rowOff>
    </xdr:to>
    <xdr:pic>
      <xdr:nvPicPr>
        <xdr:cNvPr id="4" name="Picture 3">
          <a:extLst>
            <a:ext uri="{FF2B5EF4-FFF2-40B4-BE49-F238E27FC236}">
              <a16:creationId xmlns:a16="http://schemas.microsoft.com/office/drawing/2014/main" id="{661A17DF-BB39-AFF5-4B91-C5CA37B67794}"/>
            </a:ext>
          </a:extLst>
        </xdr:cNvPr>
        <xdr:cNvPicPr>
          <a:picLocks noChangeAspect="1"/>
        </xdr:cNvPicPr>
      </xdr:nvPicPr>
      <xdr:blipFill>
        <a:blip xmlns:r="http://schemas.openxmlformats.org/officeDocument/2006/relationships" r:embed="rId3"/>
        <a:stretch>
          <a:fillRect/>
        </a:stretch>
      </xdr:blipFill>
      <xdr:spPr>
        <a:xfrm>
          <a:off x="76201" y="20447142"/>
          <a:ext cx="6210299" cy="4312965"/>
        </a:xfrm>
        <a:prstGeom prst="rect">
          <a:avLst/>
        </a:prstGeom>
      </xdr:spPr>
    </xdr:pic>
    <xdr:clientData/>
  </xdr:twoCellAnchor>
  <xdr:twoCellAnchor editAs="oneCell">
    <xdr:from>
      <xdr:col>0</xdr:col>
      <xdr:colOff>91109</xdr:colOff>
      <xdr:row>158</xdr:row>
      <xdr:rowOff>33131</xdr:rowOff>
    </xdr:from>
    <xdr:to>
      <xdr:col>13</xdr:col>
      <xdr:colOff>85307</xdr:colOff>
      <xdr:row>183</xdr:row>
      <xdr:rowOff>54900</xdr:rowOff>
    </xdr:to>
    <xdr:pic>
      <xdr:nvPicPr>
        <xdr:cNvPr id="5" name="Picture 4">
          <a:extLst>
            <a:ext uri="{FF2B5EF4-FFF2-40B4-BE49-F238E27FC236}">
              <a16:creationId xmlns:a16="http://schemas.microsoft.com/office/drawing/2014/main" id="{68C71B26-BD52-9C61-522B-9BEF4B55E1A8}"/>
            </a:ext>
          </a:extLst>
        </xdr:cNvPr>
        <xdr:cNvPicPr>
          <a:picLocks noChangeAspect="1"/>
        </xdr:cNvPicPr>
      </xdr:nvPicPr>
      <xdr:blipFill>
        <a:blip xmlns:r="http://schemas.openxmlformats.org/officeDocument/2006/relationships" r:embed="rId4"/>
        <a:stretch>
          <a:fillRect/>
        </a:stretch>
      </xdr:blipFill>
      <xdr:spPr>
        <a:xfrm>
          <a:off x="91109" y="26313848"/>
          <a:ext cx="7465111" cy="4163074"/>
        </a:xfrm>
        <a:prstGeom prst="rect">
          <a:avLst/>
        </a:prstGeom>
      </xdr:spPr>
    </xdr:pic>
    <xdr:clientData/>
  </xdr:twoCellAnchor>
  <xdr:twoCellAnchor editAs="oneCell">
    <xdr:from>
      <xdr:col>0</xdr:col>
      <xdr:colOff>76200</xdr:colOff>
      <xdr:row>189</xdr:row>
      <xdr:rowOff>111122</xdr:rowOff>
    </xdr:from>
    <xdr:to>
      <xdr:col>11</xdr:col>
      <xdr:colOff>438150</xdr:colOff>
      <xdr:row>217</xdr:row>
      <xdr:rowOff>8769</xdr:rowOff>
    </xdr:to>
    <xdr:pic>
      <xdr:nvPicPr>
        <xdr:cNvPr id="6" name="Picture 5">
          <a:extLst>
            <a:ext uri="{FF2B5EF4-FFF2-40B4-BE49-F238E27FC236}">
              <a16:creationId xmlns:a16="http://schemas.microsoft.com/office/drawing/2014/main" id="{92CF635C-DA90-1094-EC57-B8D6D066D742}"/>
            </a:ext>
          </a:extLst>
        </xdr:cNvPr>
        <xdr:cNvPicPr>
          <a:picLocks noChangeAspect="1"/>
        </xdr:cNvPicPr>
      </xdr:nvPicPr>
      <xdr:blipFill>
        <a:blip xmlns:r="http://schemas.openxmlformats.org/officeDocument/2006/relationships" r:embed="rId5"/>
        <a:stretch>
          <a:fillRect/>
        </a:stretch>
      </xdr:blipFill>
      <xdr:spPr>
        <a:xfrm>
          <a:off x="76200" y="30829247"/>
          <a:ext cx="6448425" cy="4431547"/>
        </a:xfrm>
        <a:prstGeom prst="rect">
          <a:avLst/>
        </a:prstGeom>
      </xdr:spPr>
    </xdr:pic>
    <xdr:clientData/>
  </xdr:twoCellAnchor>
  <xdr:twoCellAnchor editAs="oneCell">
    <xdr:from>
      <xdr:col>0</xdr:col>
      <xdr:colOff>104775</xdr:colOff>
      <xdr:row>263</xdr:row>
      <xdr:rowOff>95251</xdr:rowOff>
    </xdr:from>
    <xdr:to>
      <xdr:col>13</xdr:col>
      <xdr:colOff>430215</xdr:colOff>
      <xdr:row>284</xdr:row>
      <xdr:rowOff>142876</xdr:rowOff>
    </xdr:to>
    <xdr:pic>
      <xdr:nvPicPr>
        <xdr:cNvPr id="8" name="Picture 7">
          <a:extLst>
            <a:ext uri="{FF2B5EF4-FFF2-40B4-BE49-F238E27FC236}">
              <a16:creationId xmlns:a16="http://schemas.microsoft.com/office/drawing/2014/main" id="{9F420564-2081-0343-1865-861A66DC7D7B}"/>
            </a:ext>
          </a:extLst>
        </xdr:cNvPr>
        <xdr:cNvPicPr>
          <a:picLocks noChangeAspect="1"/>
        </xdr:cNvPicPr>
      </xdr:nvPicPr>
      <xdr:blipFill>
        <a:blip xmlns:r="http://schemas.openxmlformats.org/officeDocument/2006/relationships" r:embed="rId6"/>
        <a:stretch>
          <a:fillRect/>
        </a:stretch>
      </xdr:blipFill>
      <xdr:spPr>
        <a:xfrm>
          <a:off x="104775" y="42795826"/>
          <a:ext cx="7783515" cy="3448050"/>
        </a:xfrm>
        <a:prstGeom prst="rect">
          <a:avLst/>
        </a:prstGeom>
      </xdr:spPr>
    </xdr:pic>
    <xdr:clientData/>
  </xdr:twoCellAnchor>
  <xdr:twoCellAnchor editAs="oneCell">
    <xdr:from>
      <xdr:col>0</xdr:col>
      <xdr:colOff>142875</xdr:colOff>
      <xdr:row>291</xdr:row>
      <xdr:rowOff>38100</xdr:rowOff>
    </xdr:from>
    <xdr:to>
      <xdr:col>9</xdr:col>
      <xdr:colOff>37524</xdr:colOff>
      <xdr:row>333</xdr:row>
      <xdr:rowOff>85725</xdr:rowOff>
    </xdr:to>
    <xdr:pic>
      <xdr:nvPicPr>
        <xdr:cNvPr id="9" name="Picture 8">
          <a:extLst>
            <a:ext uri="{FF2B5EF4-FFF2-40B4-BE49-F238E27FC236}">
              <a16:creationId xmlns:a16="http://schemas.microsoft.com/office/drawing/2014/main" id="{A21220ED-39E9-44DC-E3AB-7685402FC18B}"/>
            </a:ext>
          </a:extLst>
        </xdr:cNvPr>
        <xdr:cNvPicPr>
          <a:picLocks noChangeAspect="1"/>
        </xdr:cNvPicPr>
      </xdr:nvPicPr>
      <xdr:blipFill>
        <a:blip xmlns:r="http://schemas.openxmlformats.org/officeDocument/2006/relationships" r:embed="rId7"/>
        <a:stretch>
          <a:fillRect/>
        </a:stretch>
      </xdr:blipFill>
      <xdr:spPr>
        <a:xfrm>
          <a:off x="142875" y="47272575"/>
          <a:ext cx="4609524" cy="6848475"/>
        </a:xfrm>
        <a:prstGeom prst="rect">
          <a:avLst/>
        </a:prstGeom>
      </xdr:spPr>
    </xdr:pic>
    <xdr:clientData/>
  </xdr:twoCellAnchor>
  <xdr:twoCellAnchor editAs="oneCell">
    <xdr:from>
      <xdr:col>1</xdr:col>
      <xdr:colOff>1</xdr:colOff>
      <xdr:row>343</xdr:row>
      <xdr:rowOff>28576</xdr:rowOff>
    </xdr:from>
    <xdr:to>
      <xdr:col>8</xdr:col>
      <xdr:colOff>647700</xdr:colOff>
      <xdr:row>368</xdr:row>
      <xdr:rowOff>62193</xdr:rowOff>
    </xdr:to>
    <xdr:pic>
      <xdr:nvPicPr>
        <xdr:cNvPr id="10" name="Picture 9">
          <a:extLst>
            <a:ext uri="{FF2B5EF4-FFF2-40B4-BE49-F238E27FC236}">
              <a16:creationId xmlns:a16="http://schemas.microsoft.com/office/drawing/2014/main" id="{38A894AA-0642-AB42-BAE2-3E80FA7AC73E}"/>
            </a:ext>
          </a:extLst>
        </xdr:cNvPr>
        <xdr:cNvPicPr>
          <a:picLocks noChangeAspect="1"/>
        </xdr:cNvPicPr>
      </xdr:nvPicPr>
      <xdr:blipFill>
        <a:blip xmlns:r="http://schemas.openxmlformats.org/officeDocument/2006/relationships" r:embed="rId8"/>
        <a:stretch>
          <a:fillRect/>
        </a:stretch>
      </xdr:blipFill>
      <xdr:spPr>
        <a:xfrm>
          <a:off x="200026" y="55683151"/>
          <a:ext cx="4476749" cy="4081742"/>
        </a:xfrm>
        <a:prstGeom prst="rect">
          <a:avLst/>
        </a:prstGeom>
      </xdr:spPr>
    </xdr:pic>
    <xdr:clientData/>
  </xdr:twoCellAnchor>
  <xdr:twoCellAnchor editAs="oneCell">
    <xdr:from>
      <xdr:col>0</xdr:col>
      <xdr:colOff>66675</xdr:colOff>
      <xdr:row>454</xdr:row>
      <xdr:rowOff>133350</xdr:rowOff>
    </xdr:from>
    <xdr:to>
      <xdr:col>13</xdr:col>
      <xdr:colOff>437171</xdr:colOff>
      <xdr:row>484</xdr:row>
      <xdr:rowOff>94649</xdr:rowOff>
    </xdr:to>
    <xdr:pic>
      <xdr:nvPicPr>
        <xdr:cNvPr id="12" name="Picture 11">
          <a:extLst>
            <a:ext uri="{FF2B5EF4-FFF2-40B4-BE49-F238E27FC236}">
              <a16:creationId xmlns:a16="http://schemas.microsoft.com/office/drawing/2014/main" id="{FBFD86F7-3D63-45CE-B1EE-944D104A47DF}"/>
            </a:ext>
          </a:extLst>
        </xdr:cNvPr>
        <xdr:cNvPicPr>
          <a:picLocks noChangeAspect="1"/>
        </xdr:cNvPicPr>
      </xdr:nvPicPr>
      <xdr:blipFill>
        <a:blip xmlns:r="http://schemas.openxmlformats.org/officeDocument/2006/relationships" r:embed="rId9"/>
        <a:stretch>
          <a:fillRect/>
        </a:stretch>
      </xdr:blipFill>
      <xdr:spPr>
        <a:xfrm>
          <a:off x="66675" y="67475100"/>
          <a:ext cx="7828571" cy="4819048"/>
        </a:xfrm>
        <a:prstGeom prst="rect">
          <a:avLst/>
        </a:prstGeom>
      </xdr:spPr>
    </xdr:pic>
    <xdr:clientData/>
  </xdr:twoCellAnchor>
  <xdr:twoCellAnchor editAs="oneCell">
    <xdr:from>
      <xdr:col>0</xdr:col>
      <xdr:colOff>132523</xdr:colOff>
      <xdr:row>379</xdr:row>
      <xdr:rowOff>0</xdr:rowOff>
    </xdr:from>
    <xdr:to>
      <xdr:col>9</xdr:col>
      <xdr:colOff>76405</xdr:colOff>
      <xdr:row>403</xdr:row>
      <xdr:rowOff>140805</xdr:rowOff>
    </xdr:to>
    <xdr:pic>
      <xdr:nvPicPr>
        <xdr:cNvPr id="13" name="Picture 12">
          <a:extLst>
            <a:ext uri="{FF2B5EF4-FFF2-40B4-BE49-F238E27FC236}">
              <a16:creationId xmlns:a16="http://schemas.microsoft.com/office/drawing/2014/main" id="{DF9522FB-8482-61D6-3D36-CDDB0AC99C96}"/>
            </a:ext>
          </a:extLst>
        </xdr:cNvPr>
        <xdr:cNvPicPr>
          <a:picLocks noChangeAspect="1"/>
        </xdr:cNvPicPr>
      </xdr:nvPicPr>
      <xdr:blipFill>
        <a:blip xmlns:r="http://schemas.openxmlformats.org/officeDocument/2006/relationships" r:embed="rId10"/>
        <a:stretch>
          <a:fillRect/>
        </a:stretch>
      </xdr:blipFill>
      <xdr:spPr>
        <a:xfrm>
          <a:off x="132523" y="63370239"/>
          <a:ext cx="4664969" cy="4116457"/>
        </a:xfrm>
        <a:prstGeom prst="rect">
          <a:avLst/>
        </a:prstGeom>
      </xdr:spPr>
    </xdr:pic>
    <xdr:clientData/>
  </xdr:twoCellAnchor>
  <xdr:twoCellAnchor editAs="oneCell">
    <xdr:from>
      <xdr:col>1</xdr:col>
      <xdr:colOff>8281</xdr:colOff>
      <xdr:row>224</xdr:row>
      <xdr:rowOff>66258</xdr:rowOff>
    </xdr:from>
    <xdr:to>
      <xdr:col>9</xdr:col>
      <xdr:colOff>651388</xdr:colOff>
      <xdr:row>254</xdr:row>
      <xdr:rowOff>47928</xdr:rowOff>
    </xdr:to>
    <xdr:pic>
      <xdr:nvPicPr>
        <xdr:cNvPr id="14" name="Picture 13">
          <a:extLst>
            <a:ext uri="{FF2B5EF4-FFF2-40B4-BE49-F238E27FC236}">
              <a16:creationId xmlns:a16="http://schemas.microsoft.com/office/drawing/2014/main" id="{C6FE9B14-2658-B551-9DE0-B00C44AFE870}"/>
            </a:ext>
          </a:extLst>
        </xdr:cNvPr>
        <xdr:cNvPicPr>
          <a:picLocks noChangeAspect="1"/>
        </xdr:cNvPicPr>
      </xdr:nvPicPr>
      <xdr:blipFill>
        <a:blip xmlns:r="http://schemas.openxmlformats.org/officeDocument/2006/relationships" r:embed="rId11"/>
        <a:stretch>
          <a:fillRect/>
        </a:stretch>
      </xdr:blipFill>
      <xdr:spPr>
        <a:xfrm>
          <a:off x="207064" y="37760410"/>
          <a:ext cx="5165411" cy="4951235"/>
        </a:xfrm>
        <a:prstGeom prst="rect">
          <a:avLst/>
        </a:prstGeom>
      </xdr:spPr>
    </xdr:pic>
    <xdr:clientData/>
  </xdr:twoCellAnchor>
  <xdr:twoCellAnchor editAs="oneCell">
    <xdr:from>
      <xdr:col>0</xdr:col>
      <xdr:colOff>74544</xdr:colOff>
      <xdr:row>413</xdr:row>
      <xdr:rowOff>49696</xdr:rowOff>
    </xdr:from>
    <xdr:to>
      <xdr:col>9</xdr:col>
      <xdr:colOff>579782</xdr:colOff>
      <xdr:row>444</xdr:row>
      <xdr:rowOff>101260</xdr:rowOff>
    </xdr:to>
    <xdr:pic>
      <xdr:nvPicPr>
        <xdr:cNvPr id="15" name="Picture 14">
          <a:extLst>
            <a:ext uri="{FF2B5EF4-FFF2-40B4-BE49-F238E27FC236}">
              <a16:creationId xmlns:a16="http://schemas.microsoft.com/office/drawing/2014/main" id="{33039770-EB63-745F-5CFB-A33DE012ECC8}"/>
            </a:ext>
          </a:extLst>
        </xdr:cNvPr>
        <xdr:cNvPicPr>
          <a:picLocks noChangeAspect="1"/>
        </xdr:cNvPicPr>
      </xdr:nvPicPr>
      <xdr:blipFill>
        <a:blip xmlns:r="http://schemas.openxmlformats.org/officeDocument/2006/relationships" r:embed="rId12"/>
        <a:stretch>
          <a:fillRect/>
        </a:stretch>
      </xdr:blipFill>
      <xdr:spPr>
        <a:xfrm>
          <a:off x="74544" y="69052109"/>
          <a:ext cx="5226325" cy="51867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9</xdr:col>
      <xdr:colOff>683985</xdr:colOff>
      <xdr:row>51</xdr:row>
      <xdr:rowOff>161925</xdr:rowOff>
    </xdr:to>
    <xdr:pic>
      <xdr:nvPicPr>
        <xdr:cNvPr id="2" name="Picture 1">
          <a:extLst>
            <a:ext uri="{FF2B5EF4-FFF2-40B4-BE49-F238E27FC236}">
              <a16:creationId xmlns:a16="http://schemas.microsoft.com/office/drawing/2014/main" id="{2883A359-39FD-8A4C-0F68-B2BFD1ECB6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71450"/>
          <a:ext cx="6151335" cy="827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9525</xdr:colOff>
      <xdr:row>1</xdr:row>
      <xdr:rowOff>9525</xdr:rowOff>
    </xdr:from>
    <xdr:to>
      <xdr:col>21</xdr:col>
      <xdr:colOff>9525</xdr:colOff>
      <xdr:row>50</xdr:row>
      <xdr:rowOff>134676</xdr:rowOff>
    </xdr:to>
    <xdr:pic>
      <xdr:nvPicPr>
        <xdr:cNvPr id="3" name="Picture 2">
          <a:extLst>
            <a:ext uri="{FF2B5EF4-FFF2-40B4-BE49-F238E27FC236}">
              <a16:creationId xmlns:a16="http://schemas.microsoft.com/office/drawing/2014/main" id="{1F50B924-0E2B-C053-A17E-0A31EC3A1F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171450"/>
          <a:ext cx="6172200" cy="808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Gaming\Mythus\MYTHUS%202025\!%20NEW%20Mythus%20Master%20Files%20for%20GMs%20&amp;%20Players\BlankHPSheet-rev4.xlsx" TargetMode="External"/><Relationship Id="rId1" Type="http://schemas.openxmlformats.org/officeDocument/2006/relationships/externalLinkPath" Target="/Gaming/Mythus/MYTHUS%202025/!%20NEW%20Mythus%20Master%20Files%20for%20GMs%20&amp;%20Players/BlankHPSheet-rev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Gaming\Mythus\Mythus%20Campaigns%202014-2025\Campaign%20-%202025%20-%20The%20Sorcerors%20of%20the%20Waste\Player%20Package\BlankHPSheet-rev5.xlsx" TargetMode="External"/><Relationship Id="rId1" Type="http://schemas.openxmlformats.org/officeDocument/2006/relationships/externalLinkPath" Target="/Gaming/Mythus/Mythus%20Campaigns%202014-2025/Campaign%20-%202025%20-%20The%20Sorcerors%20of%20the%20Waste/Player%20Package/BlankHPSheet-re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 HPSheet"/>
      <sheetName val="Casting Sheets"/>
      <sheetName val="Tome"/>
      <sheetName val="Summoned OPs"/>
      <sheetName val="SUMMARY"/>
      <sheetName val="Combat"/>
      <sheetName val="Known, Recall, Readied"/>
      <sheetName val="New &amp; Useful Castings"/>
      <sheetName val="Heka Generation"/>
      <sheetName val="Money"/>
      <sheetName val="Consumables"/>
      <sheetName val="Net Worth"/>
    </sheetNames>
    <sheetDataSet>
      <sheetData sheetId="0" refreshError="1"/>
      <sheetData sheetId="1">
        <row r="14">
          <cell r="H14">
            <v>0</v>
          </cell>
        </row>
        <row r="15">
          <cell r="H15">
            <v>0</v>
          </cell>
          <cell r="P15">
            <v>0</v>
          </cell>
        </row>
        <row r="21">
          <cell r="H21">
            <v>0</v>
          </cell>
          <cell r="P21">
            <v>0</v>
          </cell>
        </row>
        <row r="26">
          <cell r="H26">
            <v>0</v>
          </cell>
        </row>
        <row r="27">
          <cell r="P27">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 HPSheet"/>
      <sheetName val="Casting Sheets"/>
      <sheetName val="Tome"/>
      <sheetName val="Summoned OPs"/>
      <sheetName val="SUMMARY"/>
      <sheetName val="Combat"/>
      <sheetName val="Known, Recall, Readied"/>
      <sheetName val="New &amp; Useful Castings"/>
      <sheetName val="Heka Generation"/>
      <sheetName val="Money"/>
      <sheetName val="Consumables"/>
    </sheetNames>
    <sheetDataSet>
      <sheetData sheetId="0"/>
      <sheetData sheetId="1">
        <row r="15">
          <cell r="H15">
            <v>0</v>
          </cell>
          <cell r="P15">
            <v>0</v>
          </cell>
        </row>
        <row r="16">
          <cell r="H16"/>
          <cell r="P16"/>
        </row>
        <row r="17">
          <cell r="H17"/>
          <cell r="P17"/>
        </row>
        <row r="18">
          <cell r="H18"/>
          <cell r="P18"/>
        </row>
        <row r="21">
          <cell r="H21">
            <v>0</v>
          </cell>
          <cell r="P21">
            <v>0</v>
          </cell>
        </row>
        <row r="22">
          <cell r="H22"/>
          <cell r="P22"/>
        </row>
        <row r="23">
          <cell r="H23"/>
          <cell r="P23"/>
        </row>
        <row r="24">
          <cell r="H24"/>
          <cell r="P24"/>
        </row>
        <row r="27">
          <cell r="H27"/>
          <cell r="P27">
            <v>0</v>
          </cell>
        </row>
        <row r="28">
          <cell r="H28"/>
          <cell r="P28"/>
        </row>
        <row r="29">
          <cell r="H29"/>
          <cell r="P29"/>
        </row>
        <row r="30">
          <cell r="H30"/>
          <cell r="P30"/>
        </row>
        <row r="66">
          <cell r="H66">
            <v>60</v>
          </cell>
        </row>
        <row r="67">
          <cell r="H67">
            <v>55</v>
          </cell>
        </row>
      </sheetData>
      <sheetData sheetId="2"/>
      <sheetData sheetId="3"/>
      <sheetData sheetId="4"/>
      <sheetData sheetId="5"/>
      <sheetData sheetId="6"/>
      <sheetData sheetId="7"/>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360194-4BCE-400F-AE94-E232056D3783}" name="Table5" displayName="Table5" ref="B389:B400" headerRowCount="0" totalsRowShown="0" headerRowDxfId="14" dataDxfId="13" tableBorderDxfId="12">
  <tableColumns count="1">
    <tableColumn id="1" xr3:uid="{A46AAC14-7601-41A2-B8D5-208E91241E5C}" name="Column1" headerRowDxfId="11" dataDxfId="10"/>
  </tableColumns>
  <tableStyleInfo name="Table Sty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A8E2BB-9205-497D-863D-BB334F98B7B8}" name="Table7" displayName="Table7" ref="D389:D394" headerRowCount="0" totalsRowShown="0" headerRowDxfId="9" dataDxfId="8" tableBorderDxfId="7">
  <tableColumns count="1">
    <tableColumn id="1" xr3:uid="{1A8FD89C-148C-4DFC-87D8-A40F607D4990}" name="Column1" headerRowDxfId="6" dataDxfId="5"/>
  </tableColumns>
  <tableStyleInfo name="Table Sty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1C8515-7E4A-496B-8C8B-781B1341339B}" name="Table8" displayName="Table8" ref="F389:F394" headerRowCount="0" totalsRowShown="0" headerRowDxfId="4" dataDxfId="3" tableBorderDxfId="2">
  <tableColumns count="1">
    <tableColumn id="1" xr3:uid="{4DBAB504-62F6-4406-A566-D4AB37DBB484}" name="Column1" headerRowDxfId="1" dataDxfId="0"/>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3D6F-F6C1-4B68-B126-D6FACC4806CB}">
  <dimension ref="B1:AA494"/>
  <sheetViews>
    <sheetView zoomScaleNormal="100" workbookViewId="0">
      <selection activeCell="H3" sqref="H3"/>
    </sheetView>
  </sheetViews>
  <sheetFormatPr defaultRowHeight="12.75" x14ac:dyDescent="0.2"/>
  <cols>
    <col min="1" max="3" width="2.625" style="245" customWidth="1"/>
    <col min="4" max="16" width="9" style="245"/>
    <col min="17" max="17" width="2.625" style="245" customWidth="1"/>
    <col min="18" max="23" width="9" style="245"/>
    <col min="24" max="24" width="2.625" style="245" customWidth="1"/>
    <col min="25" max="26" width="9" style="245"/>
    <col min="27" max="27" width="25.875" style="245" customWidth="1"/>
    <col min="28" max="16384" width="9" style="245"/>
  </cols>
  <sheetData>
    <row r="1" spans="2:27" ht="13.5" thickBot="1" x14ac:dyDescent="0.25"/>
    <row r="2" spans="2:27" ht="20.25" thickBot="1" x14ac:dyDescent="0.4">
      <c r="D2" s="1461" t="s">
        <v>3331</v>
      </c>
      <c r="E2" s="1462"/>
      <c r="F2" s="1463"/>
    </row>
    <row r="3" spans="2:27" ht="15" x14ac:dyDescent="0.25">
      <c r="D3" s="1458" t="s">
        <v>3332</v>
      </c>
      <c r="E3" s="1459"/>
      <c r="F3" s="1460"/>
      <c r="H3" s="1330"/>
      <c r="I3" s="1331"/>
      <c r="Q3" s="1148"/>
      <c r="R3" s="1149"/>
      <c r="S3" s="1149"/>
      <c r="T3" s="1149"/>
      <c r="U3" s="1149"/>
      <c r="V3" s="1149"/>
      <c r="W3" s="1149"/>
      <c r="X3" s="1150"/>
    </row>
    <row r="4" spans="2:27" x14ac:dyDescent="0.2">
      <c r="D4" s="1458" t="s">
        <v>3329</v>
      </c>
      <c r="E4" s="1459"/>
      <c r="F4" s="1460"/>
      <c r="Q4" s="1151"/>
      <c r="R4" s="138" t="s">
        <v>3139</v>
      </c>
      <c r="S4" s="639"/>
      <c r="T4" s="639"/>
      <c r="U4" s="639"/>
      <c r="V4" s="639"/>
      <c r="W4" s="639"/>
      <c r="X4" s="1152"/>
      <c r="Z4" s="1315" t="s">
        <v>3268</v>
      </c>
      <c r="AA4" s="609" t="s">
        <v>3242</v>
      </c>
    </row>
    <row r="5" spans="2:27" ht="15.75" thickBot="1" x14ac:dyDescent="0.25">
      <c r="D5" s="1455" t="s">
        <v>3068</v>
      </c>
      <c r="E5" s="1456"/>
      <c r="F5" s="1457"/>
      <c r="M5" s="213"/>
      <c r="Q5" s="1151"/>
      <c r="R5" s="639"/>
      <c r="S5" s="639"/>
      <c r="T5" s="639"/>
      <c r="U5" s="639"/>
      <c r="V5" s="639"/>
      <c r="W5" s="639"/>
      <c r="X5" s="1152"/>
      <c r="Z5" s="1186" t="s">
        <v>3243</v>
      </c>
      <c r="AA5" s="523" t="s">
        <v>3244</v>
      </c>
    </row>
    <row r="6" spans="2:27" ht="15" x14ac:dyDescent="0.2">
      <c r="M6" s="1186"/>
      <c r="Q6" s="1151"/>
      <c r="R6" s="639" t="s">
        <v>3123</v>
      </c>
      <c r="S6" s="639"/>
      <c r="T6" s="639"/>
      <c r="U6" s="639"/>
      <c r="V6" s="639"/>
      <c r="W6" s="639"/>
      <c r="X6" s="1152"/>
      <c r="Z6" s="1187" t="s">
        <v>3245</v>
      </c>
      <c r="AA6" s="523" t="s">
        <v>3246</v>
      </c>
    </row>
    <row r="7" spans="2:27" ht="15.75" x14ac:dyDescent="0.25">
      <c r="B7" s="958" t="s">
        <v>2990</v>
      </c>
      <c r="M7" s="1187"/>
      <c r="Q7" s="1151"/>
      <c r="R7" s="639" t="s">
        <v>3124</v>
      </c>
      <c r="S7" s="639"/>
      <c r="T7" s="639"/>
      <c r="U7" s="639"/>
      <c r="V7" s="639"/>
      <c r="W7" s="639"/>
      <c r="X7" s="1152"/>
      <c r="Z7" s="1188" t="s">
        <v>3247</v>
      </c>
      <c r="AA7" s="523" t="s">
        <v>3248</v>
      </c>
    </row>
    <row r="8" spans="2:27" ht="15" x14ac:dyDescent="0.2">
      <c r="B8" s="245" t="s">
        <v>2992</v>
      </c>
      <c r="M8" s="1188"/>
      <c r="Q8" s="1151"/>
      <c r="R8" s="639" t="s">
        <v>3142</v>
      </c>
      <c r="S8" s="639"/>
      <c r="T8" s="639"/>
      <c r="U8" s="639"/>
      <c r="V8" s="639"/>
      <c r="W8" s="639"/>
      <c r="X8" s="1152"/>
      <c r="Z8" s="1188" t="s">
        <v>3249</v>
      </c>
      <c r="AA8" s="523" t="s">
        <v>3250</v>
      </c>
    </row>
    <row r="9" spans="2:27" ht="15" x14ac:dyDescent="0.2">
      <c r="B9" s="245" t="s">
        <v>2991</v>
      </c>
      <c r="M9" s="1188"/>
      <c r="Q9" s="1151"/>
      <c r="R9" s="639"/>
      <c r="S9" s="639"/>
      <c r="T9" s="639"/>
      <c r="U9" s="639"/>
      <c r="V9" s="639"/>
      <c r="W9" s="639"/>
      <c r="X9" s="1152"/>
      <c r="Z9" s="1188" t="s">
        <v>3251</v>
      </c>
      <c r="AA9" s="523" t="s">
        <v>3252</v>
      </c>
    </row>
    <row r="10" spans="2:27" ht="15" x14ac:dyDescent="0.2">
      <c r="M10" s="1188"/>
      <c r="Q10" s="1151"/>
      <c r="R10" s="639" t="s">
        <v>3125</v>
      </c>
      <c r="S10" s="639"/>
      <c r="T10" s="639"/>
      <c r="U10" s="639"/>
      <c r="V10" s="639"/>
      <c r="W10" s="639"/>
      <c r="X10" s="1152"/>
      <c r="Z10" s="1188" t="s">
        <v>3253</v>
      </c>
      <c r="AA10" s="523" t="s">
        <v>3254</v>
      </c>
    </row>
    <row r="11" spans="2:27" ht="15" x14ac:dyDescent="0.2">
      <c r="M11" s="1188"/>
      <c r="Q11" s="1151"/>
      <c r="R11" s="639" t="s">
        <v>3144</v>
      </c>
      <c r="S11" s="639"/>
      <c r="T11" s="639"/>
      <c r="U11" s="639"/>
      <c r="V11" s="639"/>
      <c r="W11" s="639"/>
      <c r="X11" s="1152"/>
      <c r="Z11" s="1188"/>
      <c r="AA11" s="523"/>
    </row>
    <row r="12" spans="2:27" ht="15" x14ac:dyDescent="0.2">
      <c r="B12" s="959" t="s">
        <v>2394</v>
      </c>
      <c r="C12" s="317" t="s">
        <v>2993</v>
      </c>
      <c r="D12" s="317"/>
      <c r="E12" s="317"/>
      <c r="F12" s="317"/>
      <c r="G12" s="317"/>
      <c r="H12" s="317"/>
      <c r="I12" s="317"/>
      <c r="J12" s="317"/>
      <c r="K12" s="317"/>
      <c r="L12" s="317"/>
      <c r="M12" s="1188"/>
      <c r="Q12" s="1151"/>
      <c r="R12" s="639" t="s">
        <v>3145</v>
      </c>
      <c r="S12" s="639"/>
      <c r="T12" s="639"/>
      <c r="U12" s="639"/>
      <c r="V12" s="639"/>
      <c r="W12" s="639"/>
      <c r="X12" s="1152"/>
      <c r="Z12" s="523" t="s">
        <v>3255</v>
      </c>
    </row>
    <row r="13" spans="2:27" ht="15" x14ac:dyDescent="0.2">
      <c r="B13" s="959" t="s">
        <v>2394</v>
      </c>
      <c r="C13" s="317" t="s">
        <v>2994</v>
      </c>
      <c r="D13" s="317"/>
      <c r="E13" s="317"/>
      <c r="F13" s="317"/>
      <c r="G13" s="317"/>
      <c r="H13" s="317"/>
      <c r="I13" s="317"/>
      <c r="J13" s="317"/>
      <c r="K13" s="317"/>
      <c r="L13" s="317"/>
      <c r="M13" s="523"/>
      <c r="Q13" s="1151"/>
      <c r="R13" s="639" t="s">
        <v>3154</v>
      </c>
      <c r="S13" s="639"/>
      <c r="T13" s="639"/>
      <c r="U13" s="639"/>
      <c r="V13" s="639"/>
      <c r="W13" s="639"/>
      <c r="X13" s="1152"/>
      <c r="Z13" s="1189" t="s">
        <v>3256</v>
      </c>
      <c r="AA13" s="523" t="s">
        <v>3257</v>
      </c>
    </row>
    <row r="14" spans="2:27" ht="15" x14ac:dyDescent="0.2">
      <c r="B14" s="959" t="s">
        <v>2394</v>
      </c>
      <c r="C14" s="317" t="s">
        <v>2995</v>
      </c>
      <c r="D14" s="317"/>
      <c r="E14" s="317"/>
      <c r="F14" s="317"/>
      <c r="G14" s="317"/>
      <c r="H14" s="317"/>
      <c r="I14" s="317"/>
      <c r="J14" s="317"/>
      <c r="K14" s="317"/>
      <c r="L14" s="317"/>
      <c r="M14" s="1189"/>
      <c r="Q14" s="1151"/>
      <c r="R14" s="639" t="s">
        <v>3126</v>
      </c>
      <c r="S14" s="639"/>
      <c r="T14" s="639"/>
      <c r="U14" s="639"/>
      <c r="V14" s="639"/>
      <c r="W14" s="639"/>
      <c r="X14" s="1152"/>
      <c r="Z14" s="1190" t="s">
        <v>3258</v>
      </c>
      <c r="AA14" s="523" t="s">
        <v>3259</v>
      </c>
    </row>
    <row r="15" spans="2:27" ht="15" x14ac:dyDescent="0.2">
      <c r="B15" s="959" t="s">
        <v>2394</v>
      </c>
      <c r="C15" s="317" t="s">
        <v>2999</v>
      </c>
      <c r="D15" s="317"/>
      <c r="E15" s="317"/>
      <c r="F15" s="317"/>
      <c r="G15" s="317"/>
      <c r="H15" s="317"/>
      <c r="I15" s="317"/>
      <c r="J15" s="317"/>
      <c r="K15" s="317"/>
      <c r="L15" s="317"/>
      <c r="M15" s="1190"/>
      <c r="Q15" s="1151"/>
      <c r="R15" s="639" t="s">
        <v>3156</v>
      </c>
      <c r="S15" s="639"/>
      <c r="T15" s="639"/>
      <c r="U15" s="639"/>
      <c r="V15" s="639"/>
      <c r="W15" s="639"/>
      <c r="X15" s="1152"/>
      <c r="Z15" s="1191" t="s">
        <v>3260</v>
      </c>
      <c r="AA15" s="523" t="s">
        <v>3261</v>
      </c>
    </row>
    <row r="16" spans="2:27" ht="15" x14ac:dyDescent="0.2">
      <c r="B16" s="959" t="s">
        <v>2394</v>
      </c>
      <c r="C16" s="317" t="s">
        <v>2996</v>
      </c>
      <c r="D16" s="317"/>
      <c r="E16" s="317"/>
      <c r="F16" s="317"/>
      <c r="G16" s="317"/>
      <c r="H16" s="317"/>
      <c r="I16" s="317"/>
      <c r="J16" s="317"/>
      <c r="K16" s="317"/>
      <c r="L16" s="317"/>
      <c r="M16" s="1191"/>
      <c r="Q16" s="1151"/>
      <c r="R16" s="639" t="s">
        <v>3155</v>
      </c>
      <c r="S16" s="639"/>
      <c r="T16" s="639"/>
      <c r="U16" s="639"/>
      <c r="V16" s="639"/>
      <c r="W16" s="639"/>
      <c r="X16" s="1152"/>
      <c r="Z16" s="1190" t="s">
        <v>3262</v>
      </c>
      <c r="AA16" s="229" t="s">
        <v>3263</v>
      </c>
    </row>
    <row r="17" spans="2:27" ht="15" x14ac:dyDescent="0.2">
      <c r="B17" s="959" t="s">
        <v>2394</v>
      </c>
      <c r="C17" s="317" t="s">
        <v>2997</v>
      </c>
      <c r="D17" s="317"/>
      <c r="E17" s="317"/>
      <c r="F17" s="317"/>
      <c r="G17" s="317"/>
      <c r="H17" s="317"/>
      <c r="I17" s="317"/>
      <c r="J17" s="317"/>
      <c r="K17" s="317"/>
      <c r="L17" s="317"/>
      <c r="M17" s="1190"/>
      <c r="Q17" s="1151"/>
      <c r="R17" s="639" t="s">
        <v>3127</v>
      </c>
      <c r="S17" s="639"/>
      <c r="T17" s="639"/>
      <c r="U17" s="639"/>
      <c r="V17" s="639"/>
      <c r="W17" s="639"/>
      <c r="X17" s="1152"/>
      <c r="Z17" s="215"/>
      <c r="AA17" s="215"/>
    </row>
    <row r="18" spans="2:27" ht="15.75" x14ac:dyDescent="0.2">
      <c r="B18" s="959" t="s">
        <v>2394</v>
      </c>
      <c r="C18" s="317" t="s">
        <v>2998</v>
      </c>
      <c r="D18" s="317"/>
      <c r="E18" s="317"/>
      <c r="F18" s="317"/>
      <c r="G18" s="317"/>
      <c r="H18" s="317"/>
      <c r="I18" s="317"/>
      <c r="J18" s="317"/>
      <c r="K18" s="317"/>
      <c r="L18" s="317"/>
      <c r="M18" s="215"/>
      <c r="Q18" s="1151"/>
      <c r="R18" s="639" t="s">
        <v>3136</v>
      </c>
      <c r="S18" s="639"/>
      <c r="T18" s="639"/>
      <c r="U18" s="639"/>
      <c r="V18" s="639"/>
      <c r="W18" s="639"/>
      <c r="X18" s="1152"/>
      <c r="Z18" s="1192" t="s">
        <v>3264</v>
      </c>
      <c r="AA18" s="229" t="s">
        <v>3265</v>
      </c>
    </row>
    <row r="19" spans="2:27" ht="16.5" x14ac:dyDescent="0.25">
      <c r="B19" s="959" t="s">
        <v>2394</v>
      </c>
      <c r="C19" s="317" t="s">
        <v>3000</v>
      </c>
      <c r="D19" s="317"/>
      <c r="E19" s="317"/>
      <c r="F19" s="317"/>
      <c r="G19" s="317"/>
      <c r="H19" s="317"/>
      <c r="I19" s="317"/>
      <c r="J19" s="317"/>
      <c r="K19" s="317"/>
      <c r="L19" s="317"/>
      <c r="M19" s="1192"/>
      <c r="Q19" s="1151"/>
      <c r="R19" s="639"/>
      <c r="S19" s="639"/>
      <c r="T19" s="639"/>
      <c r="U19" s="639"/>
      <c r="V19" s="639"/>
      <c r="W19" s="639"/>
      <c r="X19" s="1152"/>
      <c r="Z19" s="1193" t="s">
        <v>3266</v>
      </c>
      <c r="AA19" s="229" t="s">
        <v>3267</v>
      </c>
    </row>
    <row r="20" spans="2:27" ht="15.75" x14ac:dyDescent="0.25">
      <c r="B20" s="959" t="s">
        <v>2394</v>
      </c>
      <c r="C20" s="317" t="s">
        <v>3001</v>
      </c>
      <c r="D20" s="317"/>
      <c r="E20" s="317"/>
      <c r="F20" s="317"/>
      <c r="G20" s="317"/>
      <c r="H20" s="317"/>
      <c r="I20" s="317"/>
      <c r="J20" s="317"/>
      <c r="K20" s="317"/>
      <c r="L20" s="317"/>
      <c r="M20" s="1193"/>
      <c r="Q20" s="1151"/>
      <c r="R20" s="639" t="s">
        <v>3130</v>
      </c>
      <c r="S20" s="639"/>
      <c r="T20" s="639"/>
      <c r="U20" s="639"/>
      <c r="V20" s="639"/>
      <c r="W20" s="639"/>
      <c r="X20" s="1152"/>
    </row>
    <row r="21" spans="2:27" x14ac:dyDescent="0.2">
      <c r="B21" s="959"/>
      <c r="C21" s="317" t="s">
        <v>3002</v>
      </c>
      <c r="E21" s="317"/>
      <c r="F21" s="317"/>
      <c r="G21" s="317"/>
      <c r="H21" s="317"/>
      <c r="I21" s="317"/>
      <c r="J21" s="317"/>
      <c r="K21" s="317"/>
      <c r="L21" s="317"/>
      <c r="Q21" s="1151"/>
      <c r="R21" s="639" t="s">
        <v>3128</v>
      </c>
      <c r="S21" s="639"/>
      <c r="T21" s="639"/>
      <c r="U21" s="639"/>
      <c r="V21" s="639"/>
      <c r="W21" s="639"/>
      <c r="X21" s="1152"/>
    </row>
    <row r="22" spans="2:27" x14ac:dyDescent="0.2">
      <c r="B22" s="959" t="s">
        <v>2394</v>
      </c>
      <c r="C22" s="317" t="s">
        <v>3003</v>
      </c>
      <c r="D22" s="317"/>
      <c r="E22" s="317"/>
      <c r="F22" s="317"/>
      <c r="G22" s="317"/>
      <c r="H22" s="317"/>
      <c r="I22" s="317"/>
      <c r="J22" s="317"/>
      <c r="K22" s="317"/>
      <c r="L22" s="317"/>
      <c r="Q22" s="1151"/>
      <c r="R22" s="639" t="s">
        <v>3129</v>
      </c>
      <c r="S22" s="639"/>
      <c r="T22" s="639"/>
      <c r="U22" s="639"/>
      <c r="V22" s="639"/>
      <c r="W22" s="639"/>
      <c r="X22" s="1152"/>
      <c r="Z22" s="245" t="s">
        <v>3333</v>
      </c>
    </row>
    <row r="23" spans="2:27" x14ac:dyDescent="0.2">
      <c r="B23" s="215"/>
      <c r="C23" s="317" t="s">
        <v>3004</v>
      </c>
      <c r="E23" s="317"/>
      <c r="F23" s="317"/>
      <c r="G23" s="317"/>
      <c r="H23" s="317"/>
      <c r="I23" s="317"/>
      <c r="J23" s="317"/>
      <c r="K23" s="317"/>
      <c r="L23" s="317"/>
      <c r="Q23" s="1151"/>
      <c r="R23" s="639" t="s">
        <v>3138</v>
      </c>
      <c r="S23" s="639"/>
      <c r="T23" s="639"/>
      <c r="U23" s="639"/>
      <c r="V23" s="639"/>
      <c r="W23" s="639"/>
      <c r="X23" s="1152"/>
      <c r="Z23" s="245" t="s">
        <v>3334</v>
      </c>
    </row>
    <row r="24" spans="2:27" x14ac:dyDescent="0.2">
      <c r="B24" s="215"/>
      <c r="C24" s="317" t="s">
        <v>3005</v>
      </c>
      <c r="E24" s="317"/>
      <c r="F24" s="317"/>
      <c r="G24" s="317"/>
      <c r="H24" s="317"/>
      <c r="I24" s="317"/>
      <c r="J24" s="317"/>
      <c r="K24" s="317"/>
      <c r="L24" s="317"/>
      <c r="Q24" s="1151"/>
      <c r="R24" s="639" t="s">
        <v>3137</v>
      </c>
      <c r="S24" s="639"/>
      <c r="T24" s="639"/>
      <c r="U24" s="639"/>
      <c r="V24" s="639"/>
      <c r="W24" s="639"/>
      <c r="X24" s="1152"/>
      <c r="Z24" s="245" t="s">
        <v>3335</v>
      </c>
    </row>
    <row r="25" spans="2:27" x14ac:dyDescent="0.2">
      <c r="B25" s="215"/>
      <c r="C25" s="317" t="s">
        <v>3006</v>
      </c>
      <c r="E25" s="317"/>
      <c r="F25" s="317"/>
      <c r="G25" s="317"/>
      <c r="H25" s="317"/>
      <c r="I25" s="317"/>
      <c r="J25" s="317"/>
      <c r="K25" s="317"/>
      <c r="L25" s="317"/>
      <c r="Q25" s="1151"/>
      <c r="R25" s="639"/>
      <c r="S25" s="639"/>
      <c r="T25" s="639"/>
      <c r="U25" s="639"/>
      <c r="V25" s="639"/>
      <c r="W25" s="639"/>
      <c r="X25" s="1152"/>
      <c r="Z25" s="245" t="s">
        <v>3336</v>
      </c>
    </row>
    <row r="26" spans="2:27" x14ac:dyDescent="0.2">
      <c r="Q26" s="1151"/>
      <c r="R26" s="639" t="s">
        <v>3141</v>
      </c>
      <c r="S26" s="639"/>
      <c r="T26" s="639"/>
      <c r="U26" s="639"/>
      <c r="V26" s="639"/>
      <c r="W26" s="639"/>
      <c r="X26" s="1152"/>
    </row>
    <row r="27" spans="2:27" x14ac:dyDescent="0.2">
      <c r="B27" s="245" t="s">
        <v>3008</v>
      </c>
      <c r="Q27" s="1151"/>
      <c r="R27" s="639"/>
      <c r="S27" s="639"/>
      <c r="T27" s="639"/>
      <c r="U27" s="639"/>
      <c r="V27" s="639"/>
      <c r="W27" s="639"/>
      <c r="X27" s="1152"/>
    </row>
    <row r="28" spans="2:27" x14ac:dyDescent="0.2">
      <c r="B28" s="245" t="s">
        <v>3009</v>
      </c>
      <c r="Q28" s="1151"/>
      <c r="R28" s="639" t="s">
        <v>3131</v>
      </c>
      <c r="S28" s="639"/>
      <c r="T28" s="639"/>
      <c r="U28" s="639"/>
      <c r="V28" s="639"/>
      <c r="W28" s="639"/>
      <c r="X28" s="1152"/>
    </row>
    <row r="29" spans="2:27" x14ac:dyDescent="0.2">
      <c r="B29" s="245" t="s">
        <v>3120</v>
      </c>
      <c r="Q29" s="1151"/>
      <c r="R29" s="639" t="s">
        <v>3132</v>
      </c>
      <c r="S29" s="639"/>
      <c r="T29" s="639"/>
      <c r="U29" s="639"/>
      <c r="V29" s="639"/>
      <c r="W29" s="639"/>
      <c r="X29" s="1152"/>
    </row>
    <row r="30" spans="2:27" x14ac:dyDescent="0.2">
      <c r="B30" s="245" t="s">
        <v>3121</v>
      </c>
      <c r="Q30" s="1151"/>
      <c r="R30" s="639" t="s">
        <v>3143</v>
      </c>
      <c r="S30" s="639"/>
      <c r="T30" s="639"/>
      <c r="U30" s="639"/>
      <c r="V30" s="639"/>
      <c r="W30" s="639"/>
      <c r="X30" s="1152"/>
    </row>
    <row r="31" spans="2:27" x14ac:dyDescent="0.2">
      <c r="Q31" s="1151"/>
      <c r="R31" s="639" t="s">
        <v>3135</v>
      </c>
      <c r="S31" s="639"/>
      <c r="T31" s="639"/>
      <c r="U31" s="639"/>
      <c r="V31" s="639"/>
      <c r="W31" s="639"/>
      <c r="X31" s="1152"/>
    </row>
    <row r="32" spans="2:27" x14ac:dyDescent="0.2">
      <c r="B32" s="245" t="s">
        <v>3017</v>
      </c>
      <c r="Q32" s="1151"/>
      <c r="R32" s="639" t="s">
        <v>3140</v>
      </c>
      <c r="S32" s="639"/>
      <c r="T32" s="639"/>
      <c r="U32" s="639"/>
      <c r="V32" s="639"/>
      <c r="W32" s="639"/>
      <c r="X32" s="1152"/>
    </row>
    <row r="33" spans="2:24" ht="13.5" thickBot="1" x14ac:dyDescent="0.25">
      <c r="B33" s="1147"/>
      <c r="C33" s="1147"/>
      <c r="D33" s="1147"/>
      <c r="E33" s="1147"/>
      <c r="F33" s="1147"/>
      <c r="G33" s="1147"/>
      <c r="H33" s="1147"/>
      <c r="I33" s="1147"/>
      <c r="J33" s="1147"/>
      <c r="K33" s="1147"/>
      <c r="L33" s="1147"/>
      <c r="Q33" s="1151"/>
      <c r="R33" s="639"/>
      <c r="S33" s="639"/>
      <c r="T33" s="639"/>
      <c r="U33" s="639"/>
      <c r="V33" s="639"/>
      <c r="W33" s="639"/>
      <c r="X33" s="1152"/>
    </row>
    <row r="34" spans="2:24" x14ac:dyDescent="0.2">
      <c r="Q34" s="1151"/>
      <c r="R34" s="639"/>
      <c r="S34" s="639"/>
      <c r="T34" s="639"/>
      <c r="U34" s="639"/>
      <c r="V34" s="639"/>
      <c r="W34" s="639"/>
      <c r="X34" s="1152"/>
    </row>
    <row r="35" spans="2:24" x14ac:dyDescent="0.2">
      <c r="B35" s="215" t="s">
        <v>3077</v>
      </c>
      <c r="Q35" s="1151"/>
      <c r="R35" s="639"/>
      <c r="S35" s="639"/>
      <c r="T35" s="639"/>
      <c r="U35" s="639"/>
      <c r="V35" s="639" t="s">
        <v>3134</v>
      </c>
      <c r="W35" s="639"/>
      <c r="X35" s="1152"/>
    </row>
    <row r="36" spans="2:24" x14ac:dyDescent="0.2">
      <c r="B36" s="245" t="s">
        <v>3070</v>
      </c>
      <c r="Q36" s="1151"/>
      <c r="R36" s="639"/>
      <c r="S36" s="639"/>
      <c r="T36" s="639"/>
      <c r="U36" s="639"/>
      <c r="V36" s="639" t="s">
        <v>3133</v>
      </c>
      <c r="W36" s="639"/>
      <c r="X36" s="1152"/>
    </row>
    <row r="37" spans="2:24" ht="13.5" thickBot="1" x14ac:dyDescent="0.25">
      <c r="B37" s="640">
        <v>1</v>
      </c>
      <c r="C37" s="245" t="s">
        <v>3074</v>
      </c>
      <c r="Q37" s="1153"/>
      <c r="R37" s="1154"/>
      <c r="S37" s="1154"/>
      <c r="T37" s="1154"/>
      <c r="U37" s="1154"/>
      <c r="V37" s="1154"/>
      <c r="W37" s="1154"/>
      <c r="X37" s="1155"/>
    </row>
    <row r="38" spans="2:24" x14ac:dyDescent="0.2">
      <c r="B38" s="639">
        <v>2</v>
      </c>
      <c r="C38" s="245" t="s">
        <v>3071</v>
      </c>
    </row>
    <row r="39" spans="2:24" x14ac:dyDescent="0.2">
      <c r="B39" s="1146">
        <v>3</v>
      </c>
      <c r="C39" s="245" t="s">
        <v>3072</v>
      </c>
    </row>
    <row r="40" spans="2:24" x14ac:dyDescent="0.2">
      <c r="B40" s="640">
        <v>4</v>
      </c>
      <c r="C40" s="245" t="s">
        <v>3073</v>
      </c>
    </row>
    <row r="41" spans="2:24" x14ac:dyDescent="0.2">
      <c r="C41" s="245" t="s">
        <v>3075</v>
      </c>
    </row>
    <row r="42" spans="2:24" x14ac:dyDescent="0.2">
      <c r="B42" s="245" t="s">
        <v>3076</v>
      </c>
    </row>
    <row r="81" spans="2:2" x14ac:dyDescent="0.2">
      <c r="B81" s="215" t="s">
        <v>3146</v>
      </c>
    </row>
    <row r="82" spans="2:2" x14ac:dyDescent="0.2">
      <c r="B82" s="245" t="s">
        <v>3078</v>
      </c>
    </row>
    <row r="83" spans="2:2" x14ac:dyDescent="0.2">
      <c r="B83" s="245" t="s">
        <v>3147</v>
      </c>
    </row>
    <row r="84" spans="2:2" x14ac:dyDescent="0.2">
      <c r="B84" s="245" t="s">
        <v>3079</v>
      </c>
    </row>
    <row r="111" spans="2:2" x14ac:dyDescent="0.2">
      <c r="B111" s="215" t="s">
        <v>3080</v>
      </c>
    </row>
    <row r="112" spans="2:2" x14ac:dyDescent="0.2">
      <c r="B112" s="245" t="s">
        <v>3081</v>
      </c>
    </row>
    <row r="113" spans="2:2" x14ac:dyDescent="0.2">
      <c r="B113" s="245" t="s">
        <v>3148</v>
      </c>
    </row>
    <row r="114" spans="2:2" x14ac:dyDescent="0.2">
      <c r="B114" s="245" t="s">
        <v>3122</v>
      </c>
    </row>
    <row r="115" spans="2:2" x14ac:dyDescent="0.2">
      <c r="B115" s="245" t="s">
        <v>3082</v>
      </c>
    </row>
    <row r="117" spans="2:2" x14ac:dyDescent="0.2">
      <c r="B117" s="245" t="s">
        <v>3083</v>
      </c>
    </row>
    <row r="120" spans="2:2" x14ac:dyDescent="0.2">
      <c r="B120" s="215" t="s">
        <v>3089</v>
      </c>
    </row>
    <row r="121" spans="2:2" x14ac:dyDescent="0.2">
      <c r="B121" s="245" t="s">
        <v>3084</v>
      </c>
    </row>
    <row r="122" spans="2:2" x14ac:dyDescent="0.2">
      <c r="B122" s="245" t="s">
        <v>3085</v>
      </c>
    </row>
    <row r="152" spans="2:2" x14ac:dyDescent="0.2">
      <c r="B152" s="215" t="s">
        <v>3086</v>
      </c>
    </row>
    <row r="153" spans="2:2" x14ac:dyDescent="0.2">
      <c r="B153" s="245" t="s">
        <v>3087</v>
      </c>
    </row>
    <row r="154" spans="2:2" x14ac:dyDescent="0.2">
      <c r="B154" s="245" t="s">
        <v>3088</v>
      </c>
    </row>
    <row r="155" spans="2:2" x14ac:dyDescent="0.2">
      <c r="B155" s="245" t="s">
        <v>3149</v>
      </c>
    </row>
    <row r="156" spans="2:2" x14ac:dyDescent="0.2">
      <c r="B156" s="245" t="s">
        <v>3150</v>
      </c>
    </row>
    <row r="187" spans="2:2" x14ac:dyDescent="0.2">
      <c r="B187" s="215" t="s">
        <v>3090</v>
      </c>
    </row>
    <row r="188" spans="2:2" x14ac:dyDescent="0.2">
      <c r="B188" s="245" t="s">
        <v>3091</v>
      </c>
    </row>
    <row r="189" spans="2:2" x14ac:dyDescent="0.2">
      <c r="B189" s="245" t="s">
        <v>3092</v>
      </c>
    </row>
    <row r="220" spans="2:2" x14ac:dyDescent="0.2">
      <c r="B220" s="215" t="s">
        <v>3093</v>
      </c>
    </row>
    <row r="221" spans="2:2" x14ac:dyDescent="0.2">
      <c r="B221" s="245" t="s">
        <v>3153</v>
      </c>
    </row>
    <row r="222" spans="2:2" x14ac:dyDescent="0.2">
      <c r="B222" s="245" t="s">
        <v>3932</v>
      </c>
    </row>
    <row r="223" spans="2:2" x14ac:dyDescent="0.2">
      <c r="B223" s="245" t="s">
        <v>3933</v>
      </c>
    </row>
    <row r="257" spans="2:2" x14ac:dyDescent="0.2">
      <c r="B257" s="215" t="s">
        <v>3094</v>
      </c>
    </row>
    <row r="258" spans="2:2" x14ac:dyDescent="0.2">
      <c r="B258" s="245" t="s">
        <v>3095</v>
      </c>
    </row>
    <row r="259" spans="2:2" x14ac:dyDescent="0.2">
      <c r="B259" s="245" t="s">
        <v>3096</v>
      </c>
    </row>
    <row r="260" spans="2:2" x14ac:dyDescent="0.2">
      <c r="B260" s="245" t="s">
        <v>3097</v>
      </c>
    </row>
    <row r="261" spans="2:2" x14ac:dyDescent="0.2">
      <c r="B261" s="245" t="s">
        <v>3098</v>
      </c>
    </row>
    <row r="262" spans="2:2" x14ac:dyDescent="0.2">
      <c r="B262" s="245" t="s">
        <v>3099</v>
      </c>
    </row>
    <row r="263" spans="2:2" x14ac:dyDescent="0.2">
      <c r="B263" s="245" t="s">
        <v>3100</v>
      </c>
    </row>
    <row r="288" spans="2:2" x14ac:dyDescent="0.2">
      <c r="B288" s="215" t="s">
        <v>3101</v>
      </c>
    </row>
    <row r="289" spans="2:2" x14ac:dyDescent="0.2">
      <c r="B289" s="245" t="s">
        <v>3102</v>
      </c>
    </row>
    <row r="290" spans="2:2" x14ac:dyDescent="0.2">
      <c r="B290" s="245" t="s">
        <v>3103</v>
      </c>
    </row>
    <row r="291" spans="2:2" x14ac:dyDescent="0.2">
      <c r="B291" s="245" t="s">
        <v>3104</v>
      </c>
    </row>
    <row r="337" spans="2:2" x14ac:dyDescent="0.2">
      <c r="B337" s="215" t="s">
        <v>3105</v>
      </c>
    </row>
    <row r="338" spans="2:2" x14ac:dyDescent="0.2">
      <c r="B338" s="245" t="s">
        <v>3106</v>
      </c>
    </row>
    <row r="339" spans="2:2" x14ac:dyDescent="0.2">
      <c r="B339" s="245" t="s">
        <v>3151</v>
      </c>
    </row>
    <row r="340" spans="2:2" x14ac:dyDescent="0.2">
      <c r="B340" s="245" t="s">
        <v>3152</v>
      </c>
    </row>
    <row r="341" spans="2:2" x14ac:dyDescent="0.2">
      <c r="B341" s="245" t="s">
        <v>3107</v>
      </c>
    </row>
    <row r="342" spans="2:2" x14ac:dyDescent="0.2">
      <c r="B342" s="245" t="s">
        <v>3108</v>
      </c>
    </row>
    <row r="371" spans="2:2" x14ac:dyDescent="0.2">
      <c r="B371" s="245" t="s">
        <v>3916</v>
      </c>
    </row>
    <row r="372" spans="2:2" x14ac:dyDescent="0.2">
      <c r="B372" s="245" t="s">
        <v>3917</v>
      </c>
    </row>
    <row r="373" spans="2:2" x14ac:dyDescent="0.2">
      <c r="B373" s="245" t="s">
        <v>3918</v>
      </c>
    </row>
    <row r="374" spans="2:2" x14ac:dyDescent="0.2">
      <c r="B374" s="245" t="s">
        <v>3919</v>
      </c>
    </row>
    <row r="375" spans="2:2" x14ac:dyDescent="0.2">
      <c r="B375" s="245" t="s">
        <v>3920</v>
      </c>
    </row>
    <row r="376" spans="2:2" x14ac:dyDescent="0.2">
      <c r="B376" s="245" t="s">
        <v>3921</v>
      </c>
    </row>
    <row r="377" spans="2:2" x14ac:dyDescent="0.2">
      <c r="B377" s="245" t="s">
        <v>3922</v>
      </c>
    </row>
    <row r="378" spans="2:2" x14ac:dyDescent="0.2">
      <c r="B378" s="245" t="s">
        <v>3923</v>
      </c>
    </row>
    <row r="409" spans="2:2" x14ac:dyDescent="0.2">
      <c r="B409" s="215" t="s">
        <v>3109</v>
      </c>
    </row>
    <row r="410" spans="2:2" x14ac:dyDescent="0.2">
      <c r="B410" s="245" t="s">
        <v>3934</v>
      </c>
    </row>
    <row r="411" spans="2:2" x14ac:dyDescent="0.2">
      <c r="B411" s="245" t="s">
        <v>3935</v>
      </c>
    </row>
    <row r="412" spans="2:2" x14ac:dyDescent="0.2">
      <c r="B412" s="245" t="s">
        <v>3936</v>
      </c>
    </row>
    <row r="413" spans="2:2" x14ac:dyDescent="0.2">
      <c r="B413" s="245" t="s">
        <v>3937</v>
      </c>
    </row>
    <row r="449" spans="2:2" x14ac:dyDescent="0.2">
      <c r="B449" s="215" t="s">
        <v>3110</v>
      </c>
    </row>
    <row r="450" spans="2:2" x14ac:dyDescent="0.2">
      <c r="B450" s="245" t="s">
        <v>3111</v>
      </c>
    </row>
    <row r="451" spans="2:2" x14ac:dyDescent="0.2">
      <c r="B451" s="245" t="s">
        <v>3112</v>
      </c>
    </row>
    <row r="452" spans="2:2" x14ac:dyDescent="0.2">
      <c r="B452" s="245" t="s">
        <v>3113</v>
      </c>
    </row>
    <row r="453" spans="2:2" x14ac:dyDescent="0.2">
      <c r="B453" s="245" t="s">
        <v>3114</v>
      </c>
    </row>
    <row r="454" spans="2:2" x14ac:dyDescent="0.2">
      <c r="B454" s="245" t="s">
        <v>3115</v>
      </c>
    </row>
    <row r="488" spans="2:2" x14ac:dyDescent="0.2">
      <c r="B488" s="245" t="s">
        <v>3116</v>
      </c>
    </row>
    <row r="489" spans="2:2" x14ac:dyDescent="0.2">
      <c r="B489" s="245" t="s">
        <v>3117</v>
      </c>
    </row>
    <row r="490" spans="2:2" x14ac:dyDescent="0.2">
      <c r="B490" s="245" t="s">
        <v>3118</v>
      </c>
    </row>
    <row r="491" spans="2:2" x14ac:dyDescent="0.2">
      <c r="B491" s="245" t="s">
        <v>3938</v>
      </c>
    </row>
    <row r="494" spans="2:2" x14ac:dyDescent="0.2">
      <c r="B494" s="245" t="s">
        <v>3119</v>
      </c>
    </row>
  </sheetData>
  <mergeCells count="4">
    <mergeCell ref="D5:F5"/>
    <mergeCell ref="D4:F4"/>
    <mergeCell ref="D3:F3"/>
    <mergeCell ref="D2:F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B6796-86FA-4922-ACFA-642F2B4CE5C0}">
  <sheetPr>
    <tabColor rgb="FFCFAFE7"/>
  </sheetPr>
  <dimension ref="B1:S146"/>
  <sheetViews>
    <sheetView zoomScale="70" zoomScaleNormal="70" workbookViewId="0">
      <selection activeCell="N44" sqref="N44:Q51"/>
    </sheetView>
  </sheetViews>
  <sheetFormatPr defaultRowHeight="12.75" x14ac:dyDescent="0.2"/>
  <cols>
    <col min="1" max="1" width="0.875" customWidth="1"/>
    <col min="2" max="2" width="33" bestFit="1" customWidth="1"/>
    <col min="3" max="3" width="7.25" customWidth="1"/>
    <col min="4" max="4" width="44.25" customWidth="1"/>
    <col min="5" max="5" width="5.375" customWidth="1"/>
    <col min="6" max="7" width="0.875" customWidth="1"/>
    <col min="8" max="8" width="4.875" customWidth="1"/>
    <col min="9" max="9" width="13.125" customWidth="1"/>
    <col min="10" max="10" width="27.125" customWidth="1"/>
    <col min="11" max="11" width="45.375" customWidth="1"/>
    <col min="12" max="13" width="0.875" customWidth="1"/>
    <col min="14" max="14" width="5.375" customWidth="1"/>
    <col min="15" max="15" width="13" customWidth="1"/>
    <col min="16" max="16" width="26" customWidth="1"/>
    <col min="17" max="17" width="45.25" customWidth="1"/>
    <col min="18" max="18" width="0.875" customWidth="1"/>
    <col min="23" max="23" width="3" customWidth="1"/>
    <col min="24" max="24" width="11.125" customWidth="1"/>
  </cols>
  <sheetData>
    <row r="1" spans="2:19" s="199" customFormat="1" ht="15.75" thickBot="1" x14ac:dyDescent="0.3">
      <c r="B1" s="642" t="s">
        <v>2185</v>
      </c>
      <c r="C1" s="643"/>
      <c r="D1" s="644"/>
      <c r="E1" s="643"/>
      <c r="F1" s="1328"/>
      <c r="H1" s="213"/>
      <c r="I1" s="214" t="s">
        <v>3341</v>
      </c>
      <c r="J1" s="641"/>
      <c r="K1" s="634"/>
      <c r="M1"/>
      <c r="N1"/>
      <c r="O1" s="214" t="s">
        <v>3341</v>
      </c>
      <c r="P1"/>
      <c r="Q1"/>
      <c r="R1"/>
      <c r="S1"/>
    </row>
    <row r="2" spans="2:19" ht="13.5" thickBot="1" x14ac:dyDescent="0.25">
      <c r="B2" s="270" t="s">
        <v>1794</v>
      </c>
      <c r="C2" s="271" t="s">
        <v>123</v>
      </c>
      <c r="D2" s="270" t="s">
        <v>1795</v>
      </c>
      <c r="E2" s="271" t="s">
        <v>1796</v>
      </c>
      <c r="F2" s="1329"/>
      <c r="H2" s="213" t="s">
        <v>123</v>
      </c>
      <c r="I2" s="215" t="s">
        <v>1750</v>
      </c>
      <c r="J2" s="215" t="s">
        <v>2400</v>
      </c>
      <c r="K2" s="215" t="s">
        <v>2133</v>
      </c>
      <c r="N2" s="238" t="s">
        <v>123</v>
      </c>
      <c r="O2" s="229" t="s">
        <v>1750</v>
      </c>
      <c r="P2" s="229" t="s">
        <v>2400</v>
      </c>
      <c r="Q2" s="229" t="s">
        <v>2133</v>
      </c>
      <c r="S2" s="199"/>
    </row>
    <row r="3" spans="2:19" x14ac:dyDescent="0.2">
      <c r="B3" s="272" t="s">
        <v>1797</v>
      </c>
      <c r="C3" s="273" t="s">
        <v>1767</v>
      </c>
      <c r="D3" s="272" t="s">
        <v>1798</v>
      </c>
      <c r="E3" s="273">
        <v>1</v>
      </c>
      <c r="F3" s="273"/>
      <c r="H3" s="240">
        <v>1</v>
      </c>
      <c r="I3" s="349" t="s">
        <v>2401</v>
      </c>
      <c r="J3" s="635" t="s">
        <v>152</v>
      </c>
      <c r="K3" s="349" t="s">
        <v>2402</v>
      </c>
      <c r="N3" s="240">
        <v>1</v>
      </c>
      <c r="O3" s="349" t="s">
        <v>2524</v>
      </c>
      <c r="P3" s="637" t="s">
        <v>1091</v>
      </c>
      <c r="Q3" s="349"/>
    </row>
    <row r="4" spans="2:19" x14ac:dyDescent="0.2">
      <c r="B4" s="272" t="s">
        <v>1797</v>
      </c>
      <c r="C4" s="273" t="s">
        <v>1767</v>
      </c>
      <c r="D4" s="272" t="s">
        <v>1799</v>
      </c>
      <c r="E4" s="273">
        <v>1</v>
      </c>
      <c r="F4" s="273"/>
      <c r="H4" s="240">
        <v>1</v>
      </c>
      <c r="I4" s="349" t="s">
        <v>2401</v>
      </c>
      <c r="J4" s="636" t="s">
        <v>158</v>
      </c>
      <c r="K4" s="349" t="s">
        <v>2403</v>
      </c>
      <c r="N4" s="240">
        <v>2</v>
      </c>
      <c r="O4" s="349" t="s">
        <v>2524</v>
      </c>
      <c r="P4" s="637" t="s">
        <v>1092</v>
      </c>
      <c r="Q4" s="349"/>
    </row>
    <row r="5" spans="2:19" x14ac:dyDescent="0.2">
      <c r="B5" s="272" t="s">
        <v>1797</v>
      </c>
      <c r="C5" s="273" t="s">
        <v>1768</v>
      </c>
      <c r="D5" s="272" t="s">
        <v>1800</v>
      </c>
      <c r="E5" s="273">
        <v>2</v>
      </c>
      <c r="F5" s="273"/>
      <c r="H5" s="240">
        <v>1</v>
      </c>
      <c r="I5" s="349" t="s">
        <v>2401</v>
      </c>
      <c r="J5" s="637" t="s">
        <v>164</v>
      </c>
      <c r="K5" s="349" t="s">
        <v>2404</v>
      </c>
      <c r="N5" s="240">
        <v>2</v>
      </c>
      <c r="O5" s="349" t="s">
        <v>2524</v>
      </c>
      <c r="P5" s="636" t="s">
        <v>1106</v>
      </c>
      <c r="Q5" s="349"/>
    </row>
    <row r="6" spans="2:19" x14ac:dyDescent="0.2">
      <c r="B6" s="272" t="s">
        <v>1797</v>
      </c>
      <c r="C6" s="273" t="s">
        <v>1769</v>
      </c>
      <c r="D6" s="272" t="s">
        <v>1801</v>
      </c>
      <c r="E6" s="273">
        <v>3</v>
      </c>
      <c r="F6" s="273"/>
      <c r="H6" s="240">
        <v>1</v>
      </c>
      <c r="I6" s="349" t="s">
        <v>2401</v>
      </c>
      <c r="J6" s="637" t="s">
        <v>170</v>
      </c>
      <c r="K6" s="349" t="s">
        <v>2405</v>
      </c>
      <c r="N6" s="240">
        <v>3</v>
      </c>
      <c r="O6" s="349" t="s">
        <v>2524</v>
      </c>
      <c r="P6" s="637" t="s">
        <v>1104</v>
      </c>
      <c r="Q6" s="349"/>
    </row>
    <row r="7" spans="2:19" x14ac:dyDescent="0.2">
      <c r="B7" s="272" t="s">
        <v>1797</v>
      </c>
      <c r="C7" s="273" t="s">
        <v>1769</v>
      </c>
      <c r="D7" s="272" t="s">
        <v>1802</v>
      </c>
      <c r="E7" s="273">
        <v>3</v>
      </c>
      <c r="F7" s="273"/>
      <c r="H7" s="240">
        <v>1</v>
      </c>
      <c r="I7" s="349" t="s">
        <v>2401</v>
      </c>
      <c r="J7" s="637" t="s">
        <v>2406</v>
      </c>
      <c r="K7" s="349" t="s">
        <v>2407</v>
      </c>
      <c r="N7" s="240">
        <v>4</v>
      </c>
      <c r="O7" s="349" t="s">
        <v>2524</v>
      </c>
      <c r="P7" s="637" t="s">
        <v>1116</v>
      </c>
      <c r="Q7" s="349"/>
    </row>
    <row r="8" spans="2:19" x14ac:dyDescent="0.2">
      <c r="B8" s="272" t="s">
        <v>1797</v>
      </c>
      <c r="C8" s="273" t="s">
        <v>1770</v>
      </c>
      <c r="D8" s="272" t="s">
        <v>1803</v>
      </c>
      <c r="E8" s="273">
        <v>4</v>
      </c>
      <c r="F8" s="273"/>
      <c r="H8" s="240">
        <v>1</v>
      </c>
      <c r="I8" s="349" t="s">
        <v>2401</v>
      </c>
      <c r="J8" s="636" t="s">
        <v>182</v>
      </c>
      <c r="K8" s="349" t="s">
        <v>2408</v>
      </c>
      <c r="N8" s="240"/>
      <c r="O8" s="349"/>
      <c r="P8" s="349"/>
      <c r="Q8" s="349"/>
    </row>
    <row r="9" spans="2:19" x14ac:dyDescent="0.2">
      <c r="B9" s="272" t="s">
        <v>1797</v>
      </c>
      <c r="C9" s="273" t="s">
        <v>1770</v>
      </c>
      <c r="D9" s="272" t="s">
        <v>1804</v>
      </c>
      <c r="E9" s="273">
        <v>4</v>
      </c>
      <c r="F9" s="273"/>
      <c r="H9" s="240">
        <v>1</v>
      </c>
      <c r="I9" s="349" t="s">
        <v>2401</v>
      </c>
      <c r="J9" s="636" t="s">
        <v>191</v>
      </c>
      <c r="K9" s="349" t="s">
        <v>2409</v>
      </c>
      <c r="N9" s="240"/>
      <c r="O9" s="349" t="s">
        <v>3346</v>
      </c>
      <c r="P9" s="349"/>
      <c r="Q9" s="349"/>
    </row>
    <row r="10" spans="2:19" x14ac:dyDescent="0.2">
      <c r="B10" s="272" t="s">
        <v>1797</v>
      </c>
      <c r="C10" s="273" t="s">
        <v>1771</v>
      </c>
      <c r="D10" s="272" t="s">
        <v>1805</v>
      </c>
      <c r="E10" s="273">
        <v>5</v>
      </c>
      <c r="F10" s="273"/>
      <c r="H10" s="240">
        <v>1</v>
      </c>
      <c r="I10" s="349" t="s">
        <v>2401</v>
      </c>
      <c r="J10" s="637" t="s">
        <v>2410</v>
      </c>
      <c r="K10" s="349" t="s">
        <v>2411</v>
      </c>
      <c r="N10" s="240"/>
      <c r="O10" s="349" t="s">
        <v>3346</v>
      </c>
      <c r="P10" s="349"/>
      <c r="Q10" s="349"/>
    </row>
    <row r="11" spans="2:19" x14ac:dyDescent="0.2">
      <c r="B11" s="272" t="s">
        <v>1797</v>
      </c>
      <c r="C11" s="273" t="s">
        <v>1771</v>
      </c>
      <c r="D11" s="272" t="s">
        <v>1806</v>
      </c>
      <c r="E11" s="273">
        <v>5</v>
      </c>
      <c r="F11" s="273"/>
      <c r="H11" s="240">
        <v>1</v>
      </c>
      <c r="I11" s="349" t="s">
        <v>2401</v>
      </c>
      <c r="J11" s="638" t="s">
        <v>2412</v>
      </c>
      <c r="K11" s="349" t="s">
        <v>2413</v>
      </c>
      <c r="N11" s="240"/>
      <c r="O11" s="349" t="s">
        <v>3346</v>
      </c>
      <c r="P11" s="349"/>
      <c r="Q11" s="349"/>
    </row>
    <row r="12" spans="2:19" x14ac:dyDescent="0.2">
      <c r="B12" s="272" t="s">
        <v>1797</v>
      </c>
      <c r="C12" s="273" t="s">
        <v>1774</v>
      </c>
      <c r="D12" s="272" t="s">
        <v>1807</v>
      </c>
      <c r="E12" s="273">
        <v>8</v>
      </c>
      <c r="F12" s="273"/>
      <c r="H12" s="240">
        <v>1</v>
      </c>
      <c r="I12" s="349" t="s">
        <v>2401</v>
      </c>
      <c r="J12" s="637" t="s">
        <v>2414</v>
      </c>
      <c r="K12" s="349" t="s">
        <v>2415</v>
      </c>
      <c r="N12" s="240"/>
      <c r="O12" s="349" t="s">
        <v>3346</v>
      </c>
      <c r="P12" s="349"/>
      <c r="Q12" s="349"/>
    </row>
    <row r="13" spans="2:19" x14ac:dyDescent="0.2">
      <c r="B13" s="272" t="s">
        <v>1797</v>
      </c>
      <c r="C13" s="273" t="s">
        <v>1775</v>
      </c>
      <c r="D13" s="272" t="s">
        <v>1808</v>
      </c>
      <c r="E13" s="273">
        <v>9</v>
      </c>
      <c r="F13" s="273"/>
      <c r="H13" s="240">
        <v>2</v>
      </c>
      <c r="I13" s="349" t="s">
        <v>2401</v>
      </c>
      <c r="J13" s="635" t="s">
        <v>2416</v>
      </c>
      <c r="K13" s="349" t="s">
        <v>2417</v>
      </c>
      <c r="N13" s="240"/>
      <c r="O13" s="349"/>
      <c r="P13" s="349"/>
      <c r="Q13" s="349"/>
    </row>
    <row r="14" spans="2:19" x14ac:dyDescent="0.2">
      <c r="B14" s="274" t="s">
        <v>1809</v>
      </c>
      <c r="C14" s="275" t="s">
        <v>1768</v>
      </c>
      <c r="D14" s="274" t="s">
        <v>271</v>
      </c>
      <c r="E14" s="275">
        <v>2</v>
      </c>
      <c r="F14" s="275"/>
      <c r="H14" s="240">
        <v>2</v>
      </c>
      <c r="I14" s="349" t="s">
        <v>2401</v>
      </c>
      <c r="J14" s="638" t="s">
        <v>171</v>
      </c>
      <c r="K14" s="349" t="s">
        <v>2418</v>
      </c>
      <c r="N14" s="240">
        <v>1</v>
      </c>
      <c r="O14" s="349" t="s">
        <v>2525</v>
      </c>
      <c r="P14" s="348" t="s">
        <v>1271</v>
      </c>
      <c r="Q14" s="349"/>
    </row>
    <row r="15" spans="2:19" x14ac:dyDescent="0.2">
      <c r="B15" s="274" t="s">
        <v>1809</v>
      </c>
      <c r="C15" s="275" t="s">
        <v>1769</v>
      </c>
      <c r="D15" s="274" t="s">
        <v>1810</v>
      </c>
      <c r="E15" s="275">
        <v>3</v>
      </c>
      <c r="F15" s="275"/>
      <c r="H15" s="240">
        <v>2</v>
      </c>
      <c r="I15" s="349" t="s">
        <v>2401</v>
      </c>
      <c r="J15" s="638" t="s">
        <v>2419</v>
      </c>
      <c r="K15" s="349" t="s">
        <v>3347</v>
      </c>
      <c r="N15" s="240">
        <v>5</v>
      </c>
      <c r="O15" s="349" t="s">
        <v>2525</v>
      </c>
      <c r="P15" s="348" t="s">
        <v>1299</v>
      </c>
      <c r="Q15" s="349"/>
    </row>
    <row r="16" spans="2:19" x14ac:dyDescent="0.2">
      <c r="B16" s="274" t="s">
        <v>1809</v>
      </c>
      <c r="C16" s="275" t="s">
        <v>1771</v>
      </c>
      <c r="D16" s="274" t="s">
        <v>1811</v>
      </c>
      <c r="E16" s="275">
        <v>5</v>
      </c>
      <c r="F16" s="275"/>
      <c r="H16" s="240">
        <v>2</v>
      </c>
      <c r="I16" s="349" t="s">
        <v>2401</v>
      </c>
      <c r="J16" s="637" t="s">
        <v>180</v>
      </c>
      <c r="K16" s="349" t="s">
        <v>2420</v>
      </c>
      <c r="N16" s="240">
        <v>5</v>
      </c>
      <c r="O16" s="349" t="s">
        <v>2525</v>
      </c>
      <c r="P16" s="636" t="s">
        <v>1302</v>
      </c>
      <c r="Q16" s="349"/>
    </row>
    <row r="17" spans="2:17" x14ac:dyDescent="0.2">
      <c r="B17" s="274" t="s">
        <v>1809</v>
      </c>
      <c r="C17" s="275" t="s">
        <v>1774</v>
      </c>
      <c r="D17" s="274" t="s">
        <v>1812</v>
      </c>
      <c r="E17" s="275">
        <v>8</v>
      </c>
      <c r="F17" s="275"/>
      <c r="H17" s="240">
        <v>2</v>
      </c>
      <c r="I17" s="349" t="s">
        <v>2401</v>
      </c>
      <c r="J17" s="638" t="s">
        <v>2421</v>
      </c>
      <c r="K17" s="349" t="s">
        <v>2422</v>
      </c>
      <c r="N17" s="240">
        <v>6</v>
      </c>
      <c r="O17" s="349" t="s">
        <v>2525</v>
      </c>
      <c r="P17" s="637" t="s">
        <v>2526</v>
      </c>
      <c r="Q17" s="349" t="s">
        <v>2527</v>
      </c>
    </row>
    <row r="18" spans="2:17" x14ac:dyDescent="0.2">
      <c r="B18" s="274" t="s">
        <v>1809</v>
      </c>
      <c r="C18" s="275" t="s">
        <v>1775</v>
      </c>
      <c r="D18" s="274" t="s">
        <v>1813</v>
      </c>
      <c r="E18" s="275">
        <v>9</v>
      </c>
      <c r="F18" s="275"/>
      <c r="H18" s="240">
        <v>2</v>
      </c>
      <c r="I18" s="349" t="s">
        <v>2401</v>
      </c>
      <c r="J18" s="636" t="s">
        <v>2423</v>
      </c>
      <c r="K18" s="349" t="s">
        <v>2424</v>
      </c>
      <c r="N18" s="240"/>
      <c r="O18" s="349"/>
      <c r="P18" s="349"/>
      <c r="Q18" s="349"/>
    </row>
    <row r="19" spans="2:17" x14ac:dyDescent="0.2">
      <c r="B19" s="272" t="s">
        <v>1814</v>
      </c>
      <c r="C19" s="273" t="s">
        <v>1768</v>
      </c>
      <c r="D19" s="272" t="s">
        <v>1815</v>
      </c>
      <c r="E19" s="273">
        <v>2</v>
      </c>
      <c r="F19" s="273"/>
      <c r="H19" s="240">
        <v>2</v>
      </c>
      <c r="I19" s="349" t="s">
        <v>2401</v>
      </c>
      <c r="J19" s="638" t="s">
        <v>2425</v>
      </c>
      <c r="K19" s="349" t="s">
        <v>2426</v>
      </c>
      <c r="N19" s="240">
        <v>1</v>
      </c>
      <c r="O19" s="349" t="s">
        <v>2528</v>
      </c>
      <c r="P19" s="637" t="s">
        <v>1336</v>
      </c>
      <c r="Q19" s="349" t="s">
        <v>2529</v>
      </c>
    </row>
    <row r="20" spans="2:17" x14ac:dyDescent="0.2">
      <c r="B20" s="272" t="s">
        <v>1814</v>
      </c>
      <c r="C20" s="273" t="s">
        <v>1769</v>
      </c>
      <c r="D20" s="272" t="s">
        <v>1816</v>
      </c>
      <c r="E20" s="273">
        <v>3</v>
      </c>
      <c r="F20" s="273"/>
      <c r="H20" s="240">
        <v>2</v>
      </c>
      <c r="I20" s="349" t="s">
        <v>2401</v>
      </c>
      <c r="J20" s="637" t="s">
        <v>2427</v>
      </c>
      <c r="K20" s="349" t="s">
        <v>2428</v>
      </c>
      <c r="N20" s="240"/>
      <c r="O20" s="349" t="s">
        <v>2528</v>
      </c>
      <c r="P20" s="349"/>
      <c r="Q20" s="349"/>
    </row>
    <row r="21" spans="2:17" x14ac:dyDescent="0.2">
      <c r="B21" s="272" t="s">
        <v>1814</v>
      </c>
      <c r="C21" s="273" t="s">
        <v>1770</v>
      </c>
      <c r="D21" s="272" t="s">
        <v>1817</v>
      </c>
      <c r="E21" s="273">
        <v>4</v>
      </c>
      <c r="F21" s="273"/>
      <c r="H21" s="240">
        <v>3</v>
      </c>
      <c r="I21" s="349" t="s">
        <v>2401</v>
      </c>
      <c r="J21" s="635" t="s">
        <v>160</v>
      </c>
      <c r="K21" s="349" t="s">
        <v>2429</v>
      </c>
      <c r="N21" s="240"/>
      <c r="O21" s="349" t="s">
        <v>2528</v>
      </c>
      <c r="P21" s="349"/>
      <c r="Q21" s="349"/>
    </row>
    <row r="22" spans="2:17" x14ac:dyDescent="0.2">
      <c r="B22" s="272" t="s">
        <v>1814</v>
      </c>
      <c r="C22" s="273" t="s">
        <v>1770</v>
      </c>
      <c r="D22" s="272" t="s">
        <v>1818</v>
      </c>
      <c r="E22" s="273">
        <v>4</v>
      </c>
      <c r="F22" s="273"/>
      <c r="H22" s="240">
        <v>3</v>
      </c>
      <c r="I22" s="349" t="s">
        <v>2401</v>
      </c>
      <c r="J22" s="636" t="s">
        <v>2430</v>
      </c>
      <c r="K22" s="349" t="s">
        <v>2431</v>
      </c>
      <c r="N22" s="240"/>
      <c r="O22" s="349" t="s">
        <v>2528</v>
      </c>
      <c r="P22" s="349"/>
      <c r="Q22" s="349"/>
    </row>
    <row r="23" spans="2:17" x14ac:dyDescent="0.2">
      <c r="B23" s="272" t="s">
        <v>1814</v>
      </c>
      <c r="C23" s="273" t="s">
        <v>1770</v>
      </c>
      <c r="D23" s="272" t="s">
        <v>1819</v>
      </c>
      <c r="E23" s="273">
        <v>4</v>
      </c>
      <c r="F23" s="273"/>
      <c r="H23" s="240">
        <v>3</v>
      </c>
      <c r="I23" s="349" t="s">
        <v>2401</v>
      </c>
      <c r="J23" s="638" t="s">
        <v>172</v>
      </c>
      <c r="K23" s="349" t="s">
        <v>2432</v>
      </c>
      <c r="N23" s="240"/>
      <c r="O23" s="349"/>
      <c r="P23" s="349"/>
      <c r="Q23" s="349"/>
    </row>
    <row r="24" spans="2:17" x14ac:dyDescent="0.2">
      <c r="B24" s="272" t="s">
        <v>1814</v>
      </c>
      <c r="C24" s="273" t="s">
        <v>1771</v>
      </c>
      <c r="D24" s="272" t="s">
        <v>1820</v>
      </c>
      <c r="E24" s="273">
        <v>5</v>
      </c>
      <c r="F24" s="273"/>
      <c r="H24" s="240">
        <v>4</v>
      </c>
      <c r="I24" s="349" t="s">
        <v>2401</v>
      </c>
      <c r="J24" s="635" t="s">
        <v>204</v>
      </c>
      <c r="K24" s="349" t="s">
        <v>2433</v>
      </c>
      <c r="N24" s="240">
        <v>1</v>
      </c>
      <c r="O24" s="349" t="s">
        <v>1762</v>
      </c>
      <c r="P24" s="636" t="s">
        <v>1369</v>
      </c>
      <c r="Q24" s="349"/>
    </row>
    <row r="25" spans="2:17" x14ac:dyDescent="0.2">
      <c r="B25" s="272" t="s">
        <v>1814</v>
      </c>
      <c r="C25" s="273" t="s">
        <v>1771</v>
      </c>
      <c r="D25" s="272" t="s">
        <v>1821</v>
      </c>
      <c r="E25" s="273">
        <v>5</v>
      </c>
      <c r="F25" s="273"/>
      <c r="H25" s="240">
        <v>4</v>
      </c>
      <c r="I25" s="349" t="s">
        <v>2401</v>
      </c>
      <c r="J25" s="637" t="s">
        <v>228</v>
      </c>
      <c r="K25" s="349" t="s">
        <v>2434</v>
      </c>
      <c r="N25" s="240">
        <v>1</v>
      </c>
      <c r="O25" s="349" t="s">
        <v>1762</v>
      </c>
      <c r="P25" s="636" t="s">
        <v>1371</v>
      </c>
      <c r="Q25" s="349"/>
    </row>
    <row r="26" spans="2:17" x14ac:dyDescent="0.2">
      <c r="B26" s="272" t="s">
        <v>1814</v>
      </c>
      <c r="C26" s="273" t="s">
        <v>1771</v>
      </c>
      <c r="D26" s="272" t="s">
        <v>1822</v>
      </c>
      <c r="E26" s="273">
        <v>5</v>
      </c>
      <c r="F26" s="273"/>
      <c r="H26" s="240">
        <v>5</v>
      </c>
      <c r="I26" s="349" t="s">
        <v>2401</v>
      </c>
      <c r="J26" s="635" t="s">
        <v>2435</v>
      </c>
      <c r="K26" s="349" t="s">
        <v>2436</v>
      </c>
      <c r="N26" s="240">
        <v>1</v>
      </c>
      <c r="O26" s="349" t="s">
        <v>1762</v>
      </c>
      <c r="P26" s="348" t="s">
        <v>2530</v>
      </c>
      <c r="Q26" s="349"/>
    </row>
    <row r="27" spans="2:17" x14ac:dyDescent="0.2">
      <c r="B27" s="274" t="s">
        <v>1823</v>
      </c>
      <c r="C27" s="275" t="s">
        <v>1771</v>
      </c>
      <c r="D27" s="274" t="s">
        <v>1824</v>
      </c>
      <c r="E27" s="275">
        <v>5</v>
      </c>
      <c r="F27" s="275"/>
      <c r="H27" s="240">
        <v>5</v>
      </c>
      <c r="I27" s="349" t="s">
        <v>2401</v>
      </c>
      <c r="J27" s="638" t="s">
        <v>211</v>
      </c>
      <c r="K27" s="349" t="s">
        <v>2437</v>
      </c>
      <c r="N27" s="240">
        <v>2</v>
      </c>
      <c r="O27" s="349" t="s">
        <v>1762</v>
      </c>
      <c r="P27" s="636" t="s">
        <v>1381</v>
      </c>
      <c r="Q27" s="349" t="s">
        <v>2531</v>
      </c>
    </row>
    <row r="28" spans="2:17" x14ac:dyDescent="0.2">
      <c r="B28" s="274" t="s">
        <v>1823</v>
      </c>
      <c r="C28" s="275" t="s">
        <v>1771</v>
      </c>
      <c r="D28" s="274" t="s">
        <v>1825</v>
      </c>
      <c r="E28" s="275">
        <v>5</v>
      </c>
      <c r="F28" s="275"/>
      <c r="H28" s="240">
        <v>5</v>
      </c>
      <c r="I28" s="349" t="s">
        <v>2401</v>
      </c>
      <c r="J28" s="637" t="s">
        <v>2438</v>
      </c>
      <c r="K28" s="349" t="s">
        <v>2439</v>
      </c>
      <c r="N28" s="240"/>
      <c r="O28" s="349"/>
      <c r="P28" s="349"/>
      <c r="Q28" s="349"/>
    </row>
    <row r="29" spans="2:17" x14ac:dyDescent="0.2">
      <c r="B29" s="274" t="s">
        <v>1823</v>
      </c>
      <c r="C29" s="275" t="s">
        <v>1772</v>
      </c>
      <c r="D29" s="274" t="s">
        <v>1826</v>
      </c>
      <c r="E29" s="275">
        <v>6</v>
      </c>
      <c r="F29" s="275"/>
      <c r="H29" s="240">
        <v>5</v>
      </c>
      <c r="I29" s="349" t="s">
        <v>2401</v>
      </c>
      <c r="J29" s="635" t="s">
        <v>226</v>
      </c>
      <c r="K29" s="349" t="s">
        <v>2440</v>
      </c>
      <c r="N29" s="240"/>
      <c r="O29" s="349"/>
      <c r="P29" s="349"/>
      <c r="Q29" s="349"/>
    </row>
    <row r="30" spans="2:17" x14ac:dyDescent="0.2">
      <c r="B30" s="272" t="s">
        <v>1827</v>
      </c>
      <c r="C30" s="273" t="s">
        <v>1770</v>
      </c>
      <c r="D30" s="272" t="s">
        <v>1828</v>
      </c>
      <c r="E30" s="273">
        <v>4</v>
      </c>
      <c r="F30" s="273"/>
      <c r="H30" s="240">
        <v>6</v>
      </c>
      <c r="I30" s="349" t="s">
        <v>2401</v>
      </c>
      <c r="J30" s="638" t="s">
        <v>218</v>
      </c>
      <c r="K30" s="349" t="s">
        <v>2441</v>
      </c>
      <c r="N30" s="240"/>
      <c r="O30" s="349"/>
      <c r="P30" s="349"/>
      <c r="Q30" s="349"/>
    </row>
    <row r="31" spans="2:17" x14ac:dyDescent="0.2">
      <c r="B31" s="272" t="s">
        <v>1827</v>
      </c>
      <c r="C31" s="273" t="s">
        <v>1771</v>
      </c>
      <c r="D31" s="272" t="s">
        <v>1829</v>
      </c>
      <c r="E31" s="273">
        <v>5</v>
      </c>
      <c r="F31" s="273"/>
      <c r="H31" s="240">
        <v>6</v>
      </c>
      <c r="I31" s="349" t="s">
        <v>2401</v>
      </c>
      <c r="J31" s="635" t="s">
        <v>221</v>
      </c>
      <c r="K31" s="349" t="s">
        <v>2442</v>
      </c>
      <c r="N31" s="240"/>
      <c r="O31" s="349"/>
      <c r="P31" s="349"/>
      <c r="Q31" s="349"/>
    </row>
    <row r="32" spans="2:17" x14ac:dyDescent="0.2">
      <c r="B32" s="272" t="s">
        <v>1827</v>
      </c>
      <c r="C32" s="273" t="s">
        <v>1774</v>
      </c>
      <c r="D32" s="272" t="s">
        <v>1830</v>
      </c>
      <c r="E32" s="273">
        <v>8</v>
      </c>
      <c r="F32" s="273"/>
      <c r="H32" s="240">
        <v>6</v>
      </c>
      <c r="I32" s="349" t="s">
        <v>2401</v>
      </c>
      <c r="J32" s="637" t="s">
        <v>230</v>
      </c>
      <c r="K32" s="349" t="s">
        <v>2443</v>
      </c>
      <c r="N32" s="240"/>
      <c r="O32" s="349"/>
      <c r="P32" s="349"/>
      <c r="Q32" s="349"/>
    </row>
    <row r="33" spans="2:17" x14ac:dyDescent="0.2">
      <c r="B33" s="274" t="s">
        <v>1831</v>
      </c>
      <c r="C33" s="275" t="s">
        <v>1769</v>
      </c>
      <c r="D33" s="274" t="s">
        <v>1832</v>
      </c>
      <c r="E33" s="275">
        <v>3</v>
      </c>
      <c r="F33" s="275"/>
      <c r="H33" s="240">
        <v>7</v>
      </c>
      <c r="I33" s="349" t="s">
        <v>2401</v>
      </c>
      <c r="J33" s="637" t="s">
        <v>233</v>
      </c>
      <c r="K33" s="349" t="s">
        <v>2444</v>
      </c>
      <c r="N33" s="240"/>
      <c r="O33" s="349"/>
      <c r="P33" s="349"/>
      <c r="Q33" s="349"/>
    </row>
    <row r="34" spans="2:17" x14ac:dyDescent="0.2">
      <c r="B34" s="274" t="s">
        <v>1831</v>
      </c>
      <c r="C34" s="275" t="s">
        <v>1772</v>
      </c>
      <c r="D34" s="274" t="s">
        <v>1833</v>
      </c>
      <c r="E34" s="275">
        <v>6</v>
      </c>
      <c r="F34" s="275"/>
      <c r="H34" s="240">
        <v>7</v>
      </c>
      <c r="I34" s="349" t="s">
        <v>2401</v>
      </c>
      <c r="J34" s="635" t="s">
        <v>242</v>
      </c>
      <c r="K34" s="349" t="s">
        <v>2445</v>
      </c>
      <c r="N34" s="240"/>
      <c r="O34" s="349"/>
      <c r="P34" s="349"/>
      <c r="Q34" s="349"/>
    </row>
    <row r="35" spans="2:17" x14ac:dyDescent="0.2">
      <c r="B35" s="274" t="s">
        <v>1831</v>
      </c>
      <c r="C35" s="275" t="s">
        <v>1775</v>
      </c>
      <c r="D35" s="274" t="s">
        <v>1834</v>
      </c>
      <c r="E35" s="275">
        <v>9</v>
      </c>
      <c r="F35" s="275"/>
      <c r="H35" s="240">
        <v>7</v>
      </c>
      <c r="I35" s="349" t="s">
        <v>2401</v>
      </c>
      <c r="J35" s="638" t="s">
        <v>245</v>
      </c>
      <c r="K35" s="349" t="s">
        <v>2446</v>
      </c>
    </row>
    <row r="36" spans="2:17" x14ac:dyDescent="0.2">
      <c r="B36" s="274" t="s">
        <v>1831</v>
      </c>
      <c r="C36" s="275" t="s">
        <v>1775</v>
      </c>
      <c r="D36" s="274" t="s">
        <v>1835</v>
      </c>
      <c r="E36" s="275">
        <v>9</v>
      </c>
      <c r="F36" s="275"/>
      <c r="H36" s="240">
        <v>8</v>
      </c>
      <c r="I36" s="349" t="s">
        <v>2401</v>
      </c>
      <c r="J36" s="638" t="s">
        <v>2447</v>
      </c>
      <c r="K36" s="349" t="s">
        <v>2448</v>
      </c>
    </row>
    <row r="37" spans="2:17" ht="13.5" thickBot="1" x14ac:dyDescent="0.25">
      <c r="B37" s="274" t="s">
        <v>1831</v>
      </c>
      <c r="C37" s="275" t="s">
        <v>1775</v>
      </c>
      <c r="D37" s="274" t="s">
        <v>1836</v>
      </c>
      <c r="E37" s="275">
        <v>9</v>
      </c>
      <c r="F37" s="275"/>
      <c r="H37" s="240">
        <v>9</v>
      </c>
      <c r="I37" s="349" t="s">
        <v>2401</v>
      </c>
      <c r="J37" s="635" t="s">
        <v>2449</v>
      </c>
      <c r="K37" s="349" t="s">
        <v>2450</v>
      </c>
      <c r="N37" s="1605" t="s">
        <v>2541</v>
      </c>
      <c r="O37" s="1605"/>
    </row>
    <row r="38" spans="2:17" x14ac:dyDescent="0.2">
      <c r="B38" s="272" t="s">
        <v>1837</v>
      </c>
      <c r="C38" s="273" t="s">
        <v>1771</v>
      </c>
      <c r="D38" s="272" t="s">
        <v>1838</v>
      </c>
      <c r="E38" s="273">
        <v>5</v>
      </c>
      <c r="F38" s="273"/>
      <c r="H38" s="240">
        <v>1</v>
      </c>
      <c r="I38" s="349" t="s">
        <v>2456</v>
      </c>
      <c r="J38" s="638" t="s">
        <v>336</v>
      </c>
      <c r="K38" s="349" t="s">
        <v>2457</v>
      </c>
      <c r="N38" s="1307"/>
      <c r="O38" s="1308" t="s">
        <v>2114</v>
      </c>
    </row>
    <row r="39" spans="2:17" x14ac:dyDescent="0.2">
      <c r="B39" s="272" t="s">
        <v>1837</v>
      </c>
      <c r="C39" s="273" t="s">
        <v>1769</v>
      </c>
      <c r="D39" s="272" t="s">
        <v>1802</v>
      </c>
      <c r="E39" s="273">
        <v>3</v>
      </c>
      <c r="F39" s="273"/>
      <c r="H39" s="240">
        <v>2</v>
      </c>
      <c r="I39" s="349" t="s">
        <v>2456</v>
      </c>
      <c r="J39" s="638" t="s">
        <v>316</v>
      </c>
      <c r="K39" s="349" t="s">
        <v>2458</v>
      </c>
      <c r="N39" s="1309"/>
      <c r="O39" s="1310" t="s">
        <v>2539</v>
      </c>
    </row>
    <row r="40" spans="2:17" x14ac:dyDescent="0.2">
      <c r="B40" s="274" t="s">
        <v>1839</v>
      </c>
      <c r="C40" s="275" t="s">
        <v>1768</v>
      </c>
      <c r="D40" s="274" t="s">
        <v>1840</v>
      </c>
      <c r="E40" s="275">
        <v>2</v>
      </c>
      <c r="F40" s="275"/>
      <c r="H40" s="240">
        <v>2</v>
      </c>
      <c r="I40" s="349" t="s">
        <v>2456</v>
      </c>
      <c r="J40" s="638" t="s">
        <v>343</v>
      </c>
      <c r="K40" s="349" t="s">
        <v>2459</v>
      </c>
      <c r="N40" s="1311"/>
      <c r="O40" s="1310" t="s">
        <v>2538</v>
      </c>
    </row>
    <row r="41" spans="2:17" x14ac:dyDescent="0.2">
      <c r="B41" s="274" t="s">
        <v>1839</v>
      </c>
      <c r="C41" s="275" t="s">
        <v>1769</v>
      </c>
      <c r="D41" s="274" t="s">
        <v>1841</v>
      </c>
      <c r="E41" s="275">
        <v>3</v>
      </c>
      <c r="F41" s="275"/>
      <c r="H41" s="240">
        <v>3</v>
      </c>
      <c r="I41" s="349" t="s">
        <v>2456</v>
      </c>
      <c r="J41" s="638" t="s">
        <v>323</v>
      </c>
      <c r="K41" s="349" t="s">
        <v>2460</v>
      </c>
      <c r="N41" s="1312"/>
      <c r="O41" s="1310" t="s">
        <v>2537</v>
      </c>
    </row>
    <row r="42" spans="2:17" ht="13.5" thickBot="1" x14ac:dyDescent="0.25">
      <c r="B42" s="274" t="s">
        <v>1839</v>
      </c>
      <c r="C42" s="275" t="s">
        <v>1775</v>
      </c>
      <c r="D42" s="274" t="s">
        <v>1842</v>
      </c>
      <c r="E42" s="275">
        <v>9</v>
      </c>
      <c r="F42" s="275"/>
      <c r="H42" s="240">
        <v>4</v>
      </c>
      <c r="I42" s="349" t="s">
        <v>2456</v>
      </c>
      <c r="J42" s="638" t="s">
        <v>350</v>
      </c>
      <c r="K42" s="349" t="s">
        <v>2461</v>
      </c>
      <c r="N42" s="1313"/>
      <c r="O42" s="1314" t="s">
        <v>2540</v>
      </c>
    </row>
    <row r="43" spans="2:17" x14ac:dyDescent="0.2">
      <c r="B43" s="272" t="s">
        <v>1843</v>
      </c>
      <c r="C43" s="273" t="s">
        <v>1768</v>
      </c>
      <c r="D43" s="272" t="s">
        <v>1844</v>
      </c>
      <c r="E43" s="273">
        <v>2</v>
      </c>
      <c r="F43" s="273"/>
      <c r="H43" s="240">
        <v>5</v>
      </c>
      <c r="I43" s="349" t="s">
        <v>2456</v>
      </c>
      <c r="J43" s="638" t="s">
        <v>363</v>
      </c>
      <c r="K43" s="349" t="s">
        <v>2462</v>
      </c>
    </row>
    <row r="44" spans="2:17" x14ac:dyDescent="0.2">
      <c r="B44" s="272" t="s">
        <v>1843</v>
      </c>
      <c r="C44" s="273" t="s">
        <v>1774</v>
      </c>
      <c r="D44" s="272" t="s">
        <v>1845</v>
      </c>
      <c r="E44" s="273">
        <v>8</v>
      </c>
      <c r="F44" s="273"/>
      <c r="H44" s="240">
        <v>5</v>
      </c>
      <c r="I44" s="349" t="s">
        <v>2456</v>
      </c>
      <c r="J44" s="635" t="s">
        <v>2463</v>
      </c>
      <c r="K44" s="349" t="s">
        <v>2464</v>
      </c>
    </row>
    <row r="45" spans="2:17" x14ac:dyDescent="0.2">
      <c r="B45" s="272" t="s">
        <v>1843</v>
      </c>
      <c r="C45" s="273" t="s">
        <v>1775</v>
      </c>
      <c r="D45" s="272" t="s">
        <v>1846</v>
      </c>
      <c r="E45" s="273">
        <v>9</v>
      </c>
      <c r="F45" s="273"/>
      <c r="H45" s="240">
        <v>6</v>
      </c>
      <c r="I45" s="349" t="s">
        <v>2456</v>
      </c>
      <c r="J45" s="638" t="s">
        <v>2465</v>
      </c>
      <c r="K45" s="349" t="s">
        <v>2466</v>
      </c>
    </row>
    <row r="46" spans="2:17" x14ac:dyDescent="0.2">
      <c r="B46" s="274" t="s">
        <v>1847</v>
      </c>
      <c r="C46" s="275" t="s">
        <v>1769</v>
      </c>
      <c r="D46" s="274" t="s">
        <v>1848</v>
      </c>
      <c r="E46" s="275">
        <v>3</v>
      </c>
      <c r="F46" s="275"/>
      <c r="H46" s="240"/>
      <c r="I46" s="349"/>
      <c r="J46" s="349"/>
      <c r="K46" s="349"/>
    </row>
    <row r="47" spans="2:17" x14ac:dyDescent="0.2">
      <c r="B47" s="274" t="s">
        <v>1847</v>
      </c>
      <c r="C47" s="275" t="s">
        <v>1773</v>
      </c>
      <c r="D47" s="274" t="s">
        <v>1849</v>
      </c>
      <c r="E47" s="275">
        <v>7</v>
      </c>
      <c r="F47" s="275"/>
      <c r="H47" s="240">
        <v>1</v>
      </c>
      <c r="I47" s="349" t="s">
        <v>2467</v>
      </c>
      <c r="J47" s="638" t="s">
        <v>397</v>
      </c>
      <c r="K47" s="349" t="s">
        <v>2468</v>
      </c>
    </row>
    <row r="48" spans="2:17" x14ac:dyDescent="0.2">
      <c r="B48" s="274" t="s">
        <v>1847</v>
      </c>
      <c r="C48" s="275" t="s">
        <v>1775</v>
      </c>
      <c r="D48" s="274" t="s">
        <v>1850</v>
      </c>
      <c r="E48" s="275">
        <v>9</v>
      </c>
      <c r="F48" s="275"/>
      <c r="H48" s="240">
        <v>1</v>
      </c>
      <c r="I48" s="349" t="s">
        <v>2467</v>
      </c>
      <c r="J48" s="635" t="s">
        <v>403</v>
      </c>
      <c r="K48" s="349" t="s">
        <v>2469</v>
      </c>
    </row>
    <row r="49" spans="2:17" x14ac:dyDescent="0.2">
      <c r="B49" s="274" t="s">
        <v>1847</v>
      </c>
      <c r="C49" s="275" t="s">
        <v>1775</v>
      </c>
      <c r="D49" s="274" t="s">
        <v>1834</v>
      </c>
      <c r="E49" s="275">
        <v>9</v>
      </c>
      <c r="F49" s="275"/>
      <c r="H49" s="240">
        <v>2</v>
      </c>
      <c r="I49" s="349" t="s">
        <v>2467</v>
      </c>
      <c r="J49" s="638" t="s">
        <v>389</v>
      </c>
      <c r="K49" s="349" t="s">
        <v>2470</v>
      </c>
    </row>
    <row r="50" spans="2:17" x14ac:dyDescent="0.2">
      <c r="B50" s="274" t="s">
        <v>1847</v>
      </c>
      <c r="C50" s="275" t="s">
        <v>1775</v>
      </c>
      <c r="D50" s="274" t="s">
        <v>1835</v>
      </c>
      <c r="E50" s="275">
        <v>9</v>
      </c>
      <c r="F50" s="275"/>
      <c r="H50" s="240">
        <v>3</v>
      </c>
      <c r="I50" s="349" t="s">
        <v>2467</v>
      </c>
      <c r="J50" s="638" t="s">
        <v>414</v>
      </c>
      <c r="K50" s="349" t="s">
        <v>2471</v>
      </c>
    </row>
    <row r="51" spans="2:17" x14ac:dyDescent="0.2">
      <c r="B51" s="274" t="s">
        <v>1847</v>
      </c>
      <c r="C51" s="275" t="s">
        <v>1851</v>
      </c>
      <c r="D51" s="274" t="s">
        <v>1852</v>
      </c>
      <c r="E51" s="275">
        <v>10</v>
      </c>
      <c r="F51" s="275"/>
      <c r="H51" s="240">
        <v>4</v>
      </c>
      <c r="I51" s="349" t="s">
        <v>2467</v>
      </c>
      <c r="J51" s="636" t="s">
        <v>418</v>
      </c>
      <c r="K51" s="349" t="s">
        <v>2472</v>
      </c>
    </row>
    <row r="52" spans="2:17" x14ac:dyDescent="0.2">
      <c r="B52" s="272" t="s">
        <v>1853</v>
      </c>
      <c r="C52" s="273" t="s">
        <v>1771</v>
      </c>
      <c r="D52" s="272" t="s">
        <v>1854</v>
      </c>
      <c r="E52" s="273">
        <v>5</v>
      </c>
      <c r="F52" s="273"/>
      <c r="H52" s="240"/>
      <c r="I52" s="349"/>
      <c r="J52" s="349"/>
      <c r="K52" s="349"/>
    </row>
    <row r="53" spans="2:17" x14ac:dyDescent="0.2">
      <c r="B53" s="272" t="s">
        <v>1853</v>
      </c>
      <c r="C53" s="273" t="s">
        <v>1774</v>
      </c>
      <c r="D53" s="272" t="s">
        <v>1855</v>
      </c>
      <c r="E53" s="273">
        <v>8</v>
      </c>
      <c r="F53" s="273"/>
      <c r="H53" s="279"/>
      <c r="I53" s="214" t="s">
        <v>3341</v>
      </c>
      <c r="J53" s="226"/>
      <c r="K53" s="226"/>
      <c r="N53" s="213"/>
      <c r="O53" s="214" t="s">
        <v>3342</v>
      </c>
      <c r="P53" s="641"/>
      <c r="Q53" s="199"/>
    </row>
    <row r="54" spans="2:17" x14ac:dyDescent="0.2">
      <c r="B54" s="272" t="s">
        <v>1853</v>
      </c>
      <c r="C54" s="273" t="s">
        <v>1775</v>
      </c>
      <c r="D54" s="272" t="s">
        <v>1856</v>
      </c>
      <c r="E54" s="273">
        <v>9</v>
      </c>
      <c r="F54" s="273"/>
      <c r="H54" s="238" t="s">
        <v>123</v>
      </c>
      <c r="I54" s="229" t="s">
        <v>1750</v>
      </c>
      <c r="J54" s="229" t="s">
        <v>2400</v>
      </c>
      <c r="K54" s="229" t="s">
        <v>2133</v>
      </c>
      <c r="N54" s="213" t="s">
        <v>123</v>
      </c>
      <c r="O54" s="215" t="s">
        <v>1750</v>
      </c>
      <c r="P54" s="215" t="s">
        <v>2400</v>
      </c>
      <c r="Q54" s="215" t="s">
        <v>2133</v>
      </c>
    </row>
    <row r="55" spans="2:17" x14ac:dyDescent="0.2">
      <c r="B55" s="274" t="s">
        <v>1857</v>
      </c>
      <c r="C55" s="275" t="s">
        <v>1772</v>
      </c>
      <c r="D55" s="274" t="s">
        <v>1858</v>
      </c>
      <c r="E55" s="275">
        <v>6</v>
      </c>
      <c r="F55" s="275"/>
      <c r="H55" s="240">
        <v>2</v>
      </c>
      <c r="I55" s="349" t="s">
        <v>2473</v>
      </c>
      <c r="J55" s="638" t="s">
        <v>2474</v>
      </c>
      <c r="K55" s="349" t="s">
        <v>2475</v>
      </c>
      <c r="N55" s="240">
        <v>1</v>
      </c>
      <c r="O55" s="349" t="s">
        <v>2451</v>
      </c>
      <c r="P55" s="638" t="s">
        <v>267</v>
      </c>
      <c r="Q55" s="349" t="s">
        <v>2452</v>
      </c>
    </row>
    <row r="56" spans="2:17" x14ac:dyDescent="0.2">
      <c r="B56" s="274" t="s">
        <v>1857</v>
      </c>
      <c r="C56" s="275" t="s">
        <v>1774</v>
      </c>
      <c r="D56" s="274" t="s">
        <v>1859</v>
      </c>
      <c r="E56" s="275">
        <v>8</v>
      </c>
      <c r="F56" s="275"/>
      <c r="H56" s="240">
        <v>2</v>
      </c>
      <c r="I56" s="349" t="s">
        <v>2473</v>
      </c>
      <c r="J56" s="638" t="s">
        <v>480</v>
      </c>
      <c r="K56" s="349" t="s">
        <v>2476</v>
      </c>
      <c r="N56" s="240">
        <v>1</v>
      </c>
      <c r="O56" s="349" t="s">
        <v>2451</v>
      </c>
      <c r="P56" s="638" t="s">
        <v>270</v>
      </c>
      <c r="Q56" s="349" t="s">
        <v>2453</v>
      </c>
    </row>
    <row r="57" spans="2:17" x14ac:dyDescent="0.2">
      <c r="B57" s="272" t="s">
        <v>1860</v>
      </c>
      <c r="C57" s="273" t="s">
        <v>1769</v>
      </c>
      <c r="D57" s="272" t="s">
        <v>1861</v>
      </c>
      <c r="E57" s="273">
        <v>3</v>
      </c>
      <c r="F57" s="273"/>
      <c r="H57" s="240">
        <v>3</v>
      </c>
      <c r="I57" s="349" t="s">
        <v>2473</v>
      </c>
      <c r="J57" s="635" t="s">
        <v>492</v>
      </c>
      <c r="K57" s="349" t="s">
        <v>2477</v>
      </c>
      <c r="N57" s="240">
        <v>5</v>
      </c>
      <c r="O57" s="349" t="s">
        <v>2451</v>
      </c>
      <c r="P57" s="638" t="s">
        <v>287</v>
      </c>
      <c r="Q57" s="349" t="s">
        <v>2454</v>
      </c>
    </row>
    <row r="58" spans="2:17" x14ac:dyDescent="0.2">
      <c r="B58" s="274" t="s">
        <v>1862</v>
      </c>
      <c r="C58" s="275" t="s">
        <v>1775</v>
      </c>
      <c r="D58" s="274" t="s">
        <v>1863</v>
      </c>
      <c r="E58" s="275">
        <v>9</v>
      </c>
      <c r="F58" s="275"/>
      <c r="H58" s="240"/>
      <c r="I58" s="349"/>
      <c r="J58" s="349"/>
      <c r="K58" s="349"/>
      <c r="N58" s="240">
        <v>6</v>
      </c>
      <c r="O58" s="349" t="s">
        <v>2451</v>
      </c>
      <c r="P58" s="638" t="s">
        <v>285</v>
      </c>
      <c r="Q58" s="349" t="s">
        <v>2455</v>
      </c>
    </row>
    <row r="59" spans="2:17" x14ac:dyDescent="0.2">
      <c r="B59" s="272" t="s">
        <v>1864</v>
      </c>
      <c r="C59" s="273" t="s">
        <v>1769</v>
      </c>
      <c r="D59" s="272" t="s">
        <v>1865</v>
      </c>
      <c r="E59" s="273">
        <v>3</v>
      </c>
      <c r="F59" s="273"/>
      <c r="H59" s="240">
        <v>1</v>
      </c>
      <c r="I59" s="349" t="s">
        <v>2478</v>
      </c>
      <c r="J59" s="348" t="s">
        <v>517</v>
      </c>
      <c r="K59" s="349" t="s">
        <v>2479</v>
      </c>
      <c r="N59" s="240"/>
      <c r="O59" s="349"/>
      <c r="P59" s="349"/>
      <c r="Q59" s="349"/>
    </row>
    <row r="60" spans="2:17" x14ac:dyDescent="0.2">
      <c r="B60" s="272" t="s">
        <v>1864</v>
      </c>
      <c r="C60" s="273" t="s">
        <v>1769</v>
      </c>
      <c r="D60" s="272" t="s">
        <v>1866</v>
      </c>
      <c r="E60" s="273">
        <v>3</v>
      </c>
      <c r="F60" s="273"/>
      <c r="H60" s="240">
        <v>2</v>
      </c>
      <c r="I60" s="349" t="s">
        <v>2478</v>
      </c>
      <c r="J60" s="638" t="s">
        <v>2480</v>
      </c>
      <c r="K60" s="349" t="s">
        <v>2481</v>
      </c>
      <c r="N60" s="240">
        <v>4</v>
      </c>
      <c r="O60" s="349" t="s">
        <v>2496</v>
      </c>
      <c r="P60" s="635" t="s">
        <v>690</v>
      </c>
      <c r="Q60" s="349" t="s">
        <v>2497</v>
      </c>
    </row>
    <row r="61" spans="2:17" x14ac:dyDescent="0.2">
      <c r="B61" s="274" t="s">
        <v>1867</v>
      </c>
      <c r="C61" s="275" t="s">
        <v>1767</v>
      </c>
      <c r="D61" s="274" t="s">
        <v>1868</v>
      </c>
      <c r="E61" s="275">
        <v>1</v>
      </c>
      <c r="F61" s="275"/>
      <c r="H61" s="240">
        <v>3</v>
      </c>
      <c r="I61" s="349" t="s">
        <v>2478</v>
      </c>
      <c r="J61" s="637" t="s">
        <v>546</v>
      </c>
      <c r="K61" s="349" t="s">
        <v>2482</v>
      </c>
      <c r="N61" s="240">
        <v>7</v>
      </c>
      <c r="O61" s="349" t="s">
        <v>2496</v>
      </c>
      <c r="P61" s="638" t="s">
        <v>699</v>
      </c>
      <c r="Q61" s="349"/>
    </row>
    <row r="62" spans="2:17" x14ac:dyDescent="0.2">
      <c r="B62" s="274" t="s">
        <v>1867</v>
      </c>
      <c r="C62" s="275" t="s">
        <v>1767</v>
      </c>
      <c r="D62" s="274" t="s">
        <v>1869</v>
      </c>
      <c r="E62" s="275">
        <v>1</v>
      </c>
      <c r="F62" s="275"/>
      <c r="H62" s="240">
        <v>4</v>
      </c>
      <c r="I62" s="349" t="s">
        <v>2478</v>
      </c>
      <c r="J62" s="637" t="s">
        <v>550</v>
      </c>
      <c r="K62" s="349" t="s">
        <v>2483</v>
      </c>
      <c r="N62" s="240">
        <v>7</v>
      </c>
      <c r="O62" s="349" t="s">
        <v>2496</v>
      </c>
      <c r="P62" s="638" t="s">
        <v>2498</v>
      </c>
      <c r="Q62" s="349" t="s">
        <v>2499</v>
      </c>
    </row>
    <row r="63" spans="2:17" x14ac:dyDescent="0.2">
      <c r="B63" s="272" t="s">
        <v>1762</v>
      </c>
      <c r="C63" s="273" t="s">
        <v>1771</v>
      </c>
      <c r="D63" s="272" t="s">
        <v>1870</v>
      </c>
      <c r="E63" s="273">
        <v>5</v>
      </c>
      <c r="F63" s="273"/>
      <c r="H63" s="240"/>
      <c r="I63" s="349"/>
      <c r="J63" s="637"/>
      <c r="K63" s="349"/>
      <c r="N63" s="240"/>
      <c r="O63" s="349" t="s">
        <v>2496</v>
      </c>
      <c r="P63" s="638"/>
      <c r="Q63" s="349"/>
    </row>
    <row r="64" spans="2:17" x14ac:dyDescent="0.2">
      <c r="B64" s="274" t="s">
        <v>1871</v>
      </c>
      <c r="C64" s="275" t="s">
        <v>1768</v>
      </c>
      <c r="D64" s="274" t="s">
        <v>1872</v>
      </c>
      <c r="E64" s="275">
        <v>2</v>
      </c>
      <c r="F64" s="275"/>
      <c r="H64" s="240">
        <v>1</v>
      </c>
      <c r="I64" s="349" t="s">
        <v>2484</v>
      </c>
      <c r="J64" s="636" t="s">
        <v>607</v>
      </c>
      <c r="K64" s="349" t="s">
        <v>2485</v>
      </c>
      <c r="N64" s="240"/>
      <c r="O64" s="349"/>
      <c r="P64" s="349"/>
      <c r="Q64" s="349"/>
    </row>
    <row r="65" spans="2:18" x14ac:dyDescent="0.2">
      <c r="B65" s="274" t="s">
        <v>1871</v>
      </c>
      <c r="C65" s="275" t="s">
        <v>1851</v>
      </c>
      <c r="D65" s="274" t="s">
        <v>1873</v>
      </c>
      <c r="E65" s="275">
        <v>10</v>
      </c>
      <c r="F65" s="275"/>
      <c r="H65" s="240">
        <v>1</v>
      </c>
      <c r="I65" s="349" t="s">
        <v>2484</v>
      </c>
      <c r="J65" s="635" t="s">
        <v>611</v>
      </c>
      <c r="K65" s="349" t="s">
        <v>2486</v>
      </c>
      <c r="N65" s="240"/>
      <c r="O65" s="349" t="s">
        <v>3345</v>
      </c>
      <c r="P65" s="349"/>
      <c r="Q65" s="349"/>
    </row>
    <row r="66" spans="2:18" x14ac:dyDescent="0.2">
      <c r="B66" s="274" t="s">
        <v>1871</v>
      </c>
      <c r="C66" s="275" t="s">
        <v>1851</v>
      </c>
      <c r="D66" s="274" t="s">
        <v>1874</v>
      </c>
      <c r="E66" s="275">
        <v>10</v>
      </c>
      <c r="F66" s="275"/>
      <c r="H66" s="240">
        <v>2</v>
      </c>
      <c r="I66" s="349" t="s">
        <v>2484</v>
      </c>
      <c r="J66" s="348" t="s">
        <v>2487</v>
      </c>
      <c r="K66" s="349" t="s">
        <v>2488</v>
      </c>
      <c r="N66" s="240"/>
      <c r="O66" s="349" t="s">
        <v>3345</v>
      </c>
      <c r="P66" s="349"/>
      <c r="Q66" s="349"/>
    </row>
    <row r="67" spans="2:18" x14ac:dyDescent="0.2">
      <c r="B67" s="272" t="s">
        <v>1875</v>
      </c>
      <c r="C67" s="273" t="s">
        <v>1774</v>
      </c>
      <c r="D67" s="272" t="s">
        <v>1876</v>
      </c>
      <c r="E67" s="273">
        <v>8</v>
      </c>
      <c r="F67" s="273"/>
      <c r="H67" s="240">
        <v>3</v>
      </c>
      <c r="I67" s="349" t="s">
        <v>2484</v>
      </c>
      <c r="J67" s="635" t="s">
        <v>603</v>
      </c>
      <c r="K67" s="349" t="s">
        <v>2489</v>
      </c>
      <c r="N67" s="240"/>
      <c r="O67" s="349" t="s">
        <v>3345</v>
      </c>
      <c r="P67" s="349"/>
      <c r="Q67" s="349"/>
    </row>
    <row r="68" spans="2:18" x14ac:dyDescent="0.2">
      <c r="H68" s="240">
        <v>5</v>
      </c>
      <c r="I68" s="349" t="s">
        <v>2484</v>
      </c>
      <c r="J68" s="348" t="s">
        <v>2490</v>
      </c>
      <c r="K68" s="349" t="s">
        <v>2491</v>
      </c>
      <c r="N68" s="240"/>
      <c r="O68" s="349" t="s">
        <v>3345</v>
      </c>
      <c r="P68" s="349"/>
      <c r="Q68" s="349"/>
    </row>
    <row r="69" spans="2:18" x14ac:dyDescent="0.2">
      <c r="H69" s="240"/>
      <c r="I69" s="349"/>
      <c r="J69" s="349"/>
      <c r="K69" s="349"/>
      <c r="N69" s="240"/>
      <c r="O69" s="349"/>
      <c r="P69" s="349"/>
      <c r="Q69" s="349"/>
    </row>
    <row r="70" spans="2:18" x14ac:dyDescent="0.2">
      <c r="H70" s="240">
        <v>1</v>
      </c>
      <c r="I70" s="349" t="s">
        <v>2492</v>
      </c>
      <c r="J70" s="638" t="s">
        <v>634</v>
      </c>
      <c r="K70" s="349" t="s">
        <v>2493</v>
      </c>
      <c r="N70" s="240">
        <v>2</v>
      </c>
      <c r="O70" s="349" t="s">
        <v>2532</v>
      </c>
      <c r="P70" s="638" t="s">
        <v>1436</v>
      </c>
      <c r="Q70" s="349"/>
    </row>
    <row r="71" spans="2:18" x14ac:dyDescent="0.2">
      <c r="H71" s="240">
        <v>1</v>
      </c>
      <c r="I71" s="349" t="s">
        <v>2492</v>
      </c>
      <c r="J71" s="637" t="s">
        <v>637</v>
      </c>
      <c r="K71" s="349" t="s">
        <v>2494</v>
      </c>
      <c r="N71" s="240">
        <v>5</v>
      </c>
      <c r="O71" s="349" t="s">
        <v>2532</v>
      </c>
      <c r="P71" s="638" t="s">
        <v>2533</v>
      </c>
      <c r="Q71" s="349"/>
    </row>
    <row r="72" spans="2:18" x14ac:dyDescent="0.2">
      <c r="H72" s="240">
        <v>5</v>
      </c>
      <c r="I72" s="349" t="s">
        <v>2492</v>
      </c>
      <c r="J72" s="635" t="s">
        <v>660</v>
      </c>
      <c r="K72" s="349" t="s">
        <v>2495</v>
      </c>
      <c r="N72" s="240">
        <v>7</v>
      </c>
      <c r="O72" s="349" t="s">
        <v>2532</v>
      </c>
      <c r="P72" s="638" t="s">
        <v>1475</v>
      </c>
      <c r="Q72" s="349"/>
    </row>
    <row r="73" spans="2:18" x14ac:dyDescent="0.2">
      <c r="H73" s="240"/>
      <c r="I73" s="349"/>
      <c r="J73" s="635"/>
      <c r="K73" s="349"/>
      <c r="N73" s="240"/>
      <c r="O73" s="349" t="s">
        <v>2532</v>
      </c>
      <c r="P73" s="349"/>
      <c r="Q73" s="349"/>
    </row>
    <row r="74" spans="2:18" x14ac:dyDescent="0.2">
      <c r="H74" s="240"/>
      <c r="I74" s="349"/>
      <c r="J74" s="349"/>
      <c r="K74" s="349"/>
      <c r="N74" s="240"/>
      <c r="O74" s="349" t="s">
        <v>2532</v>
      </c>
      <c r="P74" s="349"/>
      <c r="Q74" s="349"/>
    </row>
    <row r="75" spans="2:18" x14ac:dyDescent="0.2">
      <c r="H75" s="240">
        <v>4</v>
      </c>
      <c r="I75" s="349" t="s">
        <v>2500</v>
      </c>
      <c r="J75" s="635" t="s">
        <v>741</v>
      </c>
      <c r="K75" s="349" t="s">
        <v>2501</v>
      </c>
      <c r="N75" s="240"/>
      <c r="O75" s="349"/>
      <c r="P75" s="349"/>
      <c r="Q75" s="349"/>
    </row>
    <row r="76" spans="2:18" ht="15" x14ac:dyDescent="0.25">
      <c r="H76" s="240"/>
      <c r="I76" s="349" t="s">
        <v>2500</v>
      </c>
      <c r="J76" s="635"/>
      <c r="K76" s="349"/>
      <c r="M76" s="199"/>
      <c r="N76" s="240"/>
      <c r="O76" s="349" t="s">
        <v>3343</v>
      </c>
      <c r="P76" s="349"/>
      <c r="Q76" s="349"/>
      <c r="R76" s="634"/>
    </row>
    <row r="77" spans="2:18" x14ac:dyDescent="0.2">
      <c r="H77" s="240"/>
      <c r="I77" s="349" t="s">
        <v>2500</v>
      </c>
      <c r="J77" s="635"/>
      <c r="K77" s="349"/>
      <c r="N77" s="240"/>
      <c r="O77" s="349" t="s">
        <v>3343</v>
      </c>
      <c r="P77" s="349"/>
      <c r="Q77" s="349"/>
    </row>
    <row r="78" spans="2:18" x14ac:dyDescent="0.2">
      <c r="H78" s="240"/>
      <c r="I78" s="349" t="s">
        <v>2500</v>
      </c>
      <c r="J78" s="349"/>
      <c r="K78" s="349"/>
      <c r="N78" s="240"/>
      <c r="O78" s="349" t="s">
        <v>3343</v>
      </c>
      <c r="P78" s="349"/>
      <c r="Q78" s="349"/>
    </row>
    <row r="79" spans="2:18" x14ac:dyDescent="0.2">
      <c r="H79" s="240"/>
      <c r="I79" s="349"/>
      <c r="J79" s="349"/>
      <c r="K79" s="349"/>
      <c r="N79" s="240"/>
      <c r="O79" s="349" t="s">
        <v>3343</v>
      </c>
      <c r="P79" s="349"/>
      <c r="Q79" s="349"/>
    </row>
    <row r="80" spans="2:18" x14ac:dyDescent="0.2">
      <c r="H80" s="240">
        <v>2</v>
      </c>
      <c r="I80" s="349" t="s">
        <v>2502</v>
      </c>
      <c r="J80" s="348" t="s">
        <v>799</v>
      </c>
      <c r="K80" s="349" t="s">
        <v>2503</v>
      </c>
      <c r="N80" s="240"/>
      <c r="O80" s="349" t="s">
        <v>3343</v>
      </c>
      <c r="P80" s="349"/>
      <c r="Q80" s="349"/>
    </row>
    <row r="81" spans="8:17" x14ac:dyDescent="0.2">
      <c r="H81" s="240"/>
      <c r="I81" s="349" t="s">
        <v>2502</v>
      </c>
      <c r="J81" s="348"/>
      <c r="K81" s="349"/>
      <c r="N81" s="240"/>
      <c r="O81" s="349"/>
      <c r="P81" s="349"/>
      <c r="Q81" s="349"/>
    </row>
    <row r="82" spans="8:17" x14ac:dyDescent="0.2">
      <c r="H82" s="240"/>
      <c r="I82" s="349" t="s">
        <v>2502</v>
      </c>
      <c r="J82" s="348"/>
      <c r="K82" s="349"/>
      <c r="N82" s="240"/>
      <c r="O82" s="349" t="s">
        <v>3344</v>
      </c>
      <c r="P82" s="349"/>
      <c r="Q82" s="349"/>
    </row>
    <row r="83" spans="8:17" x14ac:dyDescent="0.2">
      <c r="H83" s="240"/>
      <c r="I83" s="349" t="s">
        <v>2502</v>
      </c>
      <c r="J83" s="349"/>
      <c r="K83" s="349"/>
      <c r="N83" s="240"/>
      <c r="O83" s="349" t="s">
        <v>3344</v>
      </c>
      <c r="P83" s="349"/>
      <c r="Q83" s="349"/>
    </row>
    <row r="84" spans="8:17" x14ac:dyDescent="0.2">
      <c r="H84" s="240"/>
      <c r="I84" s="349"/>
      <c r="J84" s="349"/>
      <c r="K84" s="349"/>
      <c r="N84" s="240"/>
      <c r="O84" s="349" t="s">
        <v>3344</v>
      </c>
      <c r="P84" s="349"/>
      <c r="Q84" s="349"/>
    </row>
    <row r="85" spans="8:17" x14ac:dyDescent="0.2">
      <c r="H85" s="240">
        <v>1</v>
      </c>
      <c r="I85" s="349" t="s">
        <v>2504</v>
      </c>
      <c r="J85" s="637" t="s">
        <v>854</v>
      </c>
      <c r="K85" s="349" t="s">
        <v>2505</v>
      </c>
      <c r="N85" s="240"/>
      <c r="O85" s="349" t="s">
        <v>3344</v>
      </c>
      <c r="P85" s="349"/>
      <c r="Q85" s="349"/>
    </row>
    <row r="86" spans="8:17" x14ac:dyDescent="0.2">
      <c r="H86" s="240">
        <v>2</v>
      </c>
      <c r="I86" s="349" t="s">
        <v>2504</v>
      </c>
      <c r="J86" s="638" t="s">
        <v>847</v>
      </c>
      <c r="K86" s="349" t="s">
        <v>2506</v>
      </c>
      <c r="N86" s="240"/>
      <c r="O86" s="349" t="s">
        <v>3344</v>
      </c>
      <c r="P86" s="349"/>
      <c r="Q86" s="349"/>
    </row>
    <row r="87" spans="8:17" x14ac:dyDescent="0.2">
      <c r="H87" s="240">
        <v>3</v>
      </c>
      <c r="I87" s="349" t="s">
        <v>2504</v>
      </c>
      <c r="J87" s="638" t="s">
        <v>848</v>
      </c>
      <c r="K87" s="349" t="s">
        <v>2507</v>
      </c>
      <c r="N87" s="240"/>
      <c r="O87" s="349" t="s">
        <v>3344</v>
      </c>
      <c r="P87" s="349"/>
      <c r="Q87" s="349"/>
    </row>
    <row r="88" spans="8:17" x14ac:dyDescent="0.2">
      <c r="H88" s="240">
        <v>5</v>
      </c>
      <c r="I88" s="349" t="s">
        <v>2504</v>
      </c>
      <c r="J88" s="636" t="s">
        <v>896</v>
      </c>
      <c r="K88" s="349" t="s">
        <v>2508</v>
      </c>
    </row>
    <row r="89" spans="8:17" x14ac:dyDescent="0.2">
      <c r="H89" s="240"/>
      <c r="I89" s="349"/>
      <c r="J89" s="349"/>
      <c r="K89" s="349"/>
    </row>
    <row r="90" spans="8:17" ht="13.5" thickBot="1" x14ac:dyDescent="0.25">
      <c r="H90" s="240">
        <v>1</v>
      </c>
      <c r="I90" s="349" t="s">
        <v>1860</v>
      </c>
      <c r="J90" s="638" t="s">
        <v>938</v>
      </c>
      <c r="K90" s="349" t="s">
        <v>2509</v>
      </c>
      <c r="N90" s="1605" t="s">
        <v>2541</v>
      </c>
      <c r="O90" s="1605"/>
    </row>
    <row r="91" spans="8:17" x14ac:dyDescent="0.2">
      <c r="H91" s="240">
        <v>1</v>
      </c>
      <c r="I91" s="349" t="s">
        <v>1860</v>
      </c>
      <c r="J91" s="638" t="s">
        <v>2510</v>
      </c>
      <c r="K91" s="349" t="s">
        <v>2511</v>
      </c>
      <c r="N91" s="1307"/>
      <c r="O91" s="1308" t="s">
        <v>2114</v>
      </c>
    </row>
    <row r="92" spans="8:17" x14ac:dyDescent="0.2">
      <c r="H92" s="240">
        <v>2</v>
      </c>
      <c r="I92" s="349" t="s">
        <v>1860</v>
      </c>
      <c r="J92" s="635" t="s">
        <v>950</v>
      </c>
      <c r="K92" s="349" t="s">
        <v>2512</v>
      </c>
      <c r="N92" s="1309"/>
      <c r="O92" s="1310" t="s">
        <v>2539</v>
      </c>
    </row>
    <row r="93" spans="8:17" x14ac:dyDescent="0.2">
      <c r="H93" s="240">
        <v>3</v>
      </c>
      <c r="I93" s="349" t="s">
        <v>1860</v>
      </c>
      <c r="J93" s="635" t="s">
        <v>2251</v>
      </c>
      <c r="K93" s="349" t="s">
        <v>2513</v>
      </c>
      <c r="N93" s="1311"/>
      <c r="O93" s="1310" t="s">
        <v>2538</v>
      </c>
    </row>
    <row r="94" spans="8:17" x14ac:dyDescent="0.2">
      <c r="H94" s="240"/>
      <c r="I94" s="349"/>
      <c r="J94" s="349"/>
      <c r="K94" s="349"/>
      <c r="N94" s="1312"/>
      <c r="O94" s="1310" t="s">
        <v>2537</v>
      </c>
    </row>
    <row r="95" spans="8:17" ht="13.5" thickBot="1" x14ac:dyDescent="0.25">
      <c r="H95" s="240">
        <v>5</v>
      </c>
      <c r="I95" s="349" t="s">
        <v>2521</v>
      </c>
      <c r="J95" s="349" t="s">
        <v>2522</v>
      </c>
      <c r="K95" s="349" t="s">
        <v>2523</v>
      </c>
      <c r="N95" s="1313"/>
      <c r="O95" s="1314" t="s">
        <v>2540</v>
      </c>
    </row>
    <row r="96" spans="8:17" x14ac:dyDescent="0.2">
      <c r="H96" s="240"/>
      <c r="I96" s="349" t="s">
        <v>2521</v>
      </c>
      <c r="J96" s="349"/>
      <c r="K96" s="349"/>
    </row>
    <row r="97" spans="8:11" x14ac:dyDescent="0.2">
      <c r="H97" s="240"/>
      <c r="I97" s="349" t="s">
        <v>2521</v>
      </c>
      <c r="J97" s="349"/>
      <c r="K97" s="349"/>
    </row>
    <row r="98" spans="8:11" x14ac:dyDescent="0.2">
      <c r="H98" s="240"/>
      <c r="I98" s="349" t="s">
        <v>2521</v>
      </c>
      <c r="J98" s="349"/>
      <c r="K98" s="349"/>
    </row>
    <row r="99" spans="8:11" x14ac:dyDescent="0.2">
      <c r="H99" s="240"/>
      <c r="I99" s="349"/>
      <c r="J99" s="349"/>
      <c r="K99" s="349"/>
    </row>
    <row r="100" spans="8:11" x14ac:dyDescent="0.2">
      <c r="H100" s="240">
        <v>1</v>
      </c>
      <c r="I100" s="349" t="s">
        <v>2514</v>
      </c>
      <c r="J100" s="348" t="s">
        <v>2515</v>
      </c>
      <c r="K100" s="349" t="s">
        <v>2516</v>
      </c>
    </row>
    <row r="101" spans="8:11" x14ac:dyDescent="0.2">
      <c r="H101" s="240">
        <v>1</v>
      </c>
      <c r="I101" s="349" t="s">
        <v>2514</v>
      </c>
      <c r="J101" s="638" t="s">
        <v>1035</v>
      </c>
      <c r="K101" s="349" t="s">
        <v>2517</v>
      </c>
    </row>
    <row r="102" spans="8:11" x14ac:dyDescent="0.2">
      <c r="H102" s="240">
        <v>2</v>
      </c>
      <c r="I102" s="349" t="s">
        <v>2514</v>
      </c>
      <c r="J102" s="635" t="s">
        <v>2518</v>
      </c>
      <c r="K102" s="349" t="s">
        <v>2519</v>
      </c>
    </row>
    <row r="103" spans="8:11" x14ac:dyDescent="0.2">
      <c r="H103" s="240">
        <v>3</v>
      </c>
      <c r="I103" s="349" t="s">
        <v>2514</v>
      </c>
      <c r="J103" s="636" t="s">
        <v>1037</v>
      </c>
      <c r="K103" s="349" t="s">
        <v>2520</v>
      </c>
    </row>
    <row r="104" spans="8:11" x14ac:dyDescent="0.2">
      <c r="H104" s="240"/>
      <c r="I104" s="349"/>
      <c r="J104" s="349"/>
      <c r="K104" s="349"/>
    </row>
    <row r="106" spans="8:11" x14ac:dyDescent="0.2">
      <c r="H106" s="279"/>
      <c r="I106" s="226"/>
      <c r="J106" s="226"/>
      <c r="K106" s="226"/>
    </row>
    <row r="107" spans="8:11" x14ac:dyDescent="0.2">
      <c r="H107" s="238" t="s">
        <v>123</v>
      </c>
      <c r="I107" s="239" t="s">
        <v>2534</v>
      </c>
      <c r="J107" s="226"/>
      <c r="K107" s="226"/>
    </row>
    <row r="108" spans="8:11" x14ac:dyDescent="0.2">
      <c r="H108" s="240">
        <v>1</v>
      </c>
      <c r="I108" s="349" t="s">
        <v>2401</v>
      </c>
      <c r="J108" s="635" t="s">
        <v>152</v>
      </c>
      <c r="K108" s="349" t="s">
        <v>2402</v>
      </c>
    </row>
    <row r="109" spans="8:11" x14ac:dyDescent="0.2">
      <c r="H109" s="240">
        <v>1</v>
      </c>
      <c r="I109" s="349" t="s">
        <v>2401</v>
      </c>
      <c r="J109" s="637" t="s">
        <v>170</v>
      </c>
      <c r="K109" s="349" t="s">
        <v>2405</v>
      </c>
    </row>
    <row r="110" spans="8:11" x14ac:dyDescent="0.2">
      <c r="H110" s="240">
        <v>1</v>
      </c>
      <c r="I110" s="349" t="s">
        <v>2401</v>
      </c>
      <c r="J110" s="637" t="s">
        <v>2406</v>
      </c>
      <c r="K110" s="349" t="s">
        <v>2407</v>
      </c>
    </row>
    <row r="111" spans="8:11" x14ac:dyDescent="0.2">
      <c r="H111" s="240">
        <v>1</v>
      </c>
      <c r="I111" s="349" t="s">
        <v>2401</v>
      </c>
      <c r="J111" s="636" t="s">
        <v>182</v>
      </c>
      <c r="K111" s="349" t="s">
        <v>2408</v>
      </c>
    </row>
    <row r="112" spans="8:11" x14ac:dyDescent="0.2">
      <c r="H112" s="240">
        <v>1</v>
      </c>
      <c r="I112" s="349" t="s">
        <v>2401</v>
      </c>
      <c r="J112" s="637" t="s">
        <v>2410</v>
      </c>
      <c r="K112" s="349" t="s">
        <v>2411</v>
      </c>
    </row>
    <row r="113" spans="8:11" x14ac:dyDescent="0.2">
      <c r="H113" s="240">
        <v>2</v>
      </c>
      <c r="I113" s="349" t="s">
        <v>2401</v>
      </c>
      <c r="J113" s="637" t="s">
        <v>180</v>
      </c>
      <c r="K113" s="349" t="s">
        <v>2420</v>
      </c>
    </row>
    <row r="114" spans="8:11" x14ac:dyDescent="0.2">
      <c r="H114" s="240">
        <v>3</v>
      </c>
      <c r="I114" s="349" t="s">
        <v>2401</v>
      </c>
      <c r="J114" s="635" t="s">
        <v>160</v>
      </c>
      <c r="K114" s="349" t="s">
        <v>2429</v>
      </c>
    </row>
    <row r="115" spans="8:11" x14ac:dyDescent="0.2">
      <c r="H115" s="240">
        <v>3</v>
      </c>
      <c r="I115" s="349" t="s">
        <v>2401</v>
      </c>
      <c r="J115" s="636" t="s">
        <v>2430</v>
      </c>
      <c r="K115" s="349" t="s">
        <v>2431</v>
      </c>
    </row>
    <row r="116" spans="8:11" x14ac:dyDescent="0.2">
      <c r="H116" s="240">
        <v>3</v>
      </c>
      <c r="I116" s="349" t="s">
        <v>2401</v>
      </c>
      <c r="J116" s="638" t="s">
        <v>172</v>
      </c>
      <c r="K116" s="349" t="s">
        <v>2432</v>
      </c>
    </row>
    <row r="117" spans="8:11" x14ac:dyDescent="0.2">
      <c r="H117" s="240">
        <v>4</v>
      </c>
      <c r="I117" s="349" t="s">
        <v>2401</v>
      </c>
      <c r="J117" s="635" t="s">
        <v>204</v>
      </c>
      <c r="K117" s="349" t="s">
        <v>2433</v>
      </c>
    </row>
    <row r="118" spans="8:11" x14ac:dyDescent="0.2">
      <c r="H118" s="240">
        <v>5</v>
      </c>
      <c r="I118" s="349" t="s">
        <v>2401</v>
      </c>
      <c r="J118" s="635" t="s">
        <v>226</v>
      </c>
      <c r="K118" s="349" t="s">
        <v>2440</v>
      </c>
    </row>
    <row r="119" spans="8:11" x14ac:dyDescent="0.2">
      <c r="H119" s="240">
        <v>6</v>
      </c>
      <c r="I119" s="349" t="s">
        <v>2401</v>
      </c>
      <c r="J119" s="637" t="s">
        <v>230</v>
      </c>
      <c r="K119" s="349" t="s">
        <v>2443</v>
      </c>
    </row>
    <row r="120" spans="8:11" x14ac:dyDescent="0.2">
      <c r="H120" s="240">
        <v>7</v>
      </c>
      <c r="I120" s="349" t="s">
        <v>2401</v>
      </c>
      <c r="J120" s="637" t="s">
        <v>233</v>
      </c>
      <c r="K120" s="349" t="s">
        <v>2444</v>
      </c>
    </row>
    <row r="121" spans="8:11" x14ac:dyDescent="0.2">
      <c r="H121" s="240">
        <v>6</v>
      </c>
      <c r="I121" s="349" t="s">
        <v>2401</v>
      </c>
      <c r="J121" s="635" t="s">
        <v>221</v>
      </c>
      <c r="K121" s="349" t="s">
        <v>2535</v>
      </c>
    </row>
    <row r="122" spans="8:11" x14ac:dyDescent="0.2">
      <c r="H122" s="240">
        <v>7</v>
      </c>
      <c r="I122" s="349" t="s">
        <v>2401</v>
      </c>
      <c r="J122" s="638" t="s">
        <v>245</v>
      </c>
      <c r="K122" s="349" t="s">
        <v>2446</v>
      </c>
    </row>
    <row r="123" spans="8:11" x14ac:dyDescent="0.2">
      <c r="H123" s="240">
        <v>8</v>
      </c>
      <c r="I123" s="349" t="s">
        <v>2401</v>
      </c>
      <c r="J123" s="638" t="s">
        <v>2447</v>
      </c>
      <c r="K123" s="349" t="s">
        <v>2448</v>
      </c>
    </row>
    <row r="124" spans="8:11" x14ac:dyDescent="0.2">
      <c r="H124" s="240">
        <v>9</v>
      </c>
      <c r="I124" s="349" t="s">
        <v>2401</v>
      </c>
      <c r="J124" s="635" t="s">
        <v>2449</v>
      </c>
      <c r="K124" s="349" t="s">
        <v>2450</v>
      </c>
    </row>
    <row r="125" spans="8:11" x14ac:dyDescent="0.2">
      <c r="H125" s="240">
        <v>2</v>
      </c>
      <c r="I125" s="349" t="s">
        <v>2456</v>
      </c>
      <c r="J125" s="638" t="s">
        <v>335</v>
      </c>
      <c r="K125" s="349"/>
    </row>
    <row r="126" spans="8:11" x14ac:dyDescent="0.2">
      <c r="H126" s="240">
        <v>1</v>
      </c>
      <c r="I126" s="349" t="s">
        <v>2467</v>
      </c>
      <c r="J126" s="638" t="s">
        <v>416</v>
      </c>
      <c r="K126" s="349"/>
    </row>
    <row r="127" spans="8:11" x14ac:dyDescent="0.2">
      <c r="H127" s="240">
        <v>1</v>
      </c>
      <c r="I127" s="349" t="s">
        <v>2467</v>
      </c>
      <c r="J127" s="635" t="s">
        <v>403</v>
      </c>
      <c r="K127" s="349" t="s">
        <v>2469</v>
      </c>
    </row>
    <row r="128" spans="8:11" x14ac:dyDescent="0.2">
      <c r="H128" s="240">
        <v>2</v>
      </c>
      <c r="I128" s="349" t="s">
        <v>2467</v>
      </c>
      <c r="J128" s="638" t="s">
        <v>389</v>
      </c>
      <c r="K128" s="349" t="s">
        <v>2470</v>
      </c>
    </row>
    <row r="129" spans="8:11" x14ac:dyDescent="0.2">
      <c r="H129" s="240">
        <v>1</v>
      </c>
      <c r="I129" s="349" t="s">
        <v>2492</v>
      </c>
      <c r="J129" s="637" t="s">
        <v>637</v>
      </c>
      <c r="K129" s="349" t="s">
        <v>2494</v>
      </c>
    </row>
    <row r="130" spans="8:11" x14ac:dyDescent="0.2">
      <c r="H130" s="240">
        <v>1</v>
      </c>
      <c r="I130" s="349" t="s">
        <v>2484</v>
      </c>
      <c r="J130" s="635" t="s">
        <v>611</v>
      </c>
      <c r="K130" s="349" t="s">
        <v>2486</v>
      </c>
    </row>
    <row r="131" spans="8:11" x14ac:dyDescent="0.2">
      <c r="H131" s="240">
        <v>2</v>
      </c>
      <c r="I131" s="349" t="s">
        <v>2484</v>
      </c>
      <c r="J131" s="348" t="s">
        <v>2487</v>
      </c>
      <c r="K131" s="349" t="s">
        <v>2488</v>
      </c>
    </row>
    <row r="132" spans="8:11" x14ac:dyDescent="0.2">
      <c r="H132" s="240">
        <v>3</v>
      </c>
      <c r="I132" s="349" t="s">
        <v>2484</v>
      </c>
      <c r="J132" s="635" t="s">
        <v>603</v>
      </c>
      <c r="K132" s="349" t="s">
        <v>2489</v>
      </c>
    </row>
    <row r="133" spans="8:11" x14ac:dyDescent="0.2">
      <c r="H133" s="240">
        <v>5</v>
      </c>
      <c r="I133" s="349" t="s">
        <v>2484</v>
      </c>
      <c r="J133" s="348" t="s">
        <v>2490</v>
      </c>
      <c r="K133" s="349" t="s">
        <v>2491</v>
      </c>
    </row>
    <row r="134" spans="8:11" x14ac:dyDescent="0.2">
      <c r="H134" s="240">
        <v>4</v>
      </c>
      <c r="I134" s="349" t="s">
        <v>2500</v>
      </c>
      <c r="J134" s="635" t="s">
        <v>741</v>
      </c>
      <c r="K134" s="349" t="s">
        <v>2501</v>
      </c>
    </row>
    <row r="135" spans="8:11" x14ac:dyDescent="0.2">
      <c r="H135" s="240">
        <v>5</v>
      </c>
      <c r="I135" s="349" t="s">
        <v>2504</v>
      </c>
      <c r="J135" s="636" t="s">
        <v>896</v>
      </c>
      <c r="K135" s="349" t="s">
        <v>2536</v>
      </c>
    </row>
    <row r="136" spans="8:11" x14ac:dyDescent="0.2">
      <c r="H136" s="240">
        <v>1</v>
      </c>
      <c r="I136" s="349" t="s">
        <v>1762</v>
      </c>
      <c r="J136" s="636" t="s">
        <v>1369</v>
      </c>
      <c r="K136" s="349"/>
    </row>
    <row r="137" spans="8:11" x14ac:dyDescent="0.2">
      <c r="H137" s="240">
        <v>1</v>
      </c>
      <c r="I137" s="349" t="s">
        <v>1762</v>
      </c>
      <c r="J137" s="636" t="s">
        <v>1371</v>
      </c>
      <c r="K137" s="349"/>
    </row>
    <row r="141" spans="8:11" ht="13.5" thickBot="1" x14ac:dyDescent="0.25">
      <c r="H141" s="1605" t="s">
        <v>2541</v>
      </c>
      <c r="I141" s="1605"/>
    </row>
    <row r="142" spans="8:11" x14ac:dyDescent="0.2">
      <c r="H142" s="1307"/>
      <c r="I142" s="1308" t="s">
        <v>2114</v>
      </c>
    </row>
    <row r="143" spans="8:11" x14ac:dyDescent="0.2">
      <c r="H143" s="1309"/>
      <c r="I143" s="1310" t="s">
        <v>2539</v>
      </c>
    </row>
    <row r="144" spans="8:11" x14ac:dyDescent="0.2">
      <c r="H144" s="1311"/>
      <c r="I144" s="1310" t="s">
        <v>2538</v>
      </c>
    </row>
    <row r="145" spans="8:9" x14ac:dyDescent="0.2">
      <c r="H145" s="1312"/>
      <c r="I145" s="1310" t="s">
        <v>2537</v>
      </c>
    </row>
    <row r="146" spans="8:9" ht="13.5" thickBot="1" x14ac:dyDescent="0.25">
      <c r="H146" s="1313"/>
      <c r="I146" s="1314" t="s">
        <v>2540</v>
      </c>
    </row>
  </sheetData>
  <sortState xmlns:xlrd2="http://schemas.microsoft.com/office/spreadsheetml/2017/richdata2" ref="O56:P65">
    <sortCondition ref="P56:P65"/>
  </sortState>
  <mergeCells count="3">
    <mergeCell ref="N90:O90"/>
    <mergeCell ref="N37:O37"/>
    <mergeCell ref="H141:I14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E6F2C-1507-41FB-B4E9-491D5E4CF22D}">
  <sheetPr>
    <tabColor rgb="FFBD92DE"/>
  </sheetPr>
  <dimension ref="A1:AE48"/>
  <sheetViews>
    <sheetView zoomScale="90" zoomScaleNormal="90" workbookViewId="0">
      <selection activeCell="K10" sqref="K10"/>
    </sheetView>
  </sheetViews>
  <sheetFormatPr defaultRowHeight="12" x14ac:dyDescent="0.2"/>
  <cols>
    <col min="1" max="1" width="19.125" style="931" customWidth="1"/>
    <col min="2" max="2" width="18.75" style="931" customWidth="1"/>
    <col min="3" max="3" width="6.25" style="931" customWidth="1"/>
    <col min="4" max="4" width="0.875" style="931" customWidth="1"/>
    <col min="5" max="5" width="5.375" style="931" customWidth="1"/>
    <col min="6" max="6" width="7.25" style="931" customWidth="1"/>
    <col min="7" max="7" width="10.75" style="931" customWidth="1"/>
    <col min="8" max="8" width="0.875" style="931" customWidth="1"/>
    <col min="9" max="9" width="5.375" style="931" customWidth="1"/>
    <col min="10" max="11" width="7.25" style="931" customWidth="1"/>
    <col min="12" max="12" width="10.75" style="931" customWidth="1"/>
    <col min="13" max="14" width="0.875" style="931" customWidth="1"/>
    <col min="15" max="24" width="9" style="931"/>
    <col min="25" max="25" width="8" style="931" customWidth="1"/>
    <col min="26" max="26" width="0.875" style="931" customWidth="1"/>
    <col min="27" max="253" width="9" style="931"/>
    <col min="254" max="254" width="18.25" style="931" customWidth="1"/>
    <col min="255" max="255" width="18.75" style="931" customWidth="1"/>
    <col min="256" max="257" width="9" style="931"/>
    <col min="258" max="258" width="9.875" style="931" customWidth="1"/>
    <col min="259" max="509" width="9" style="931"/>
    <col min="510" max="510" width="18.25" style="931" customWidth="1"/>
    <col min="511" max="511" width="18.75" style="931" customWidth="1"/>
    <col min="512" max="513" width="9" style="931"/>
    <col min="514" max="514" width="9.875" style="931" customWidth="1"/>
    <col min="515" max="765" width="9" style="931"/>
    <col min="766" max="766" width="18.25" style="931" customWidth="1"/>
    <col min="767" max="767" width="18.75" style="931" customWidth="1"/>
    <col min="768" max="769" width="9" style="931"/>
    <col min="770" max="770" width="9.875" style="931" customWidth="1"/>
    <col min="771" max="1021" width="9" style="931"/>
    <col min="1022" max="1022" width="18.25" style="931" customWidth="1"/>
    <col min="1023" max="1023" width="18.75" style="931" customWidth="1"/>
    <col min="1024" max="1025" width="9" style="931"/>
    <col min="1026" max="1026" width="9.875" style="931" customWidth="1"/>
    <col min="1027" max="1277" width="9" style="931"/>
    <col min="1278" max="1278" width="18.25" style="931" customWidth="1"/>
    <col min="1279" max="1279" width="18.75" style="931" customWidth="1"/>
    <col min="1280" max="1281" width="9" style="931"/>
    <col min="1282" max="1282" width="9.875" style="931" customWidth="1"/>
    <col min="1283" max="1533" width="9" style="931"/>
    <col min="1534" max="1534" width="18.25" style="931" customWidth="1"/>
    <col min="1535" max="1535" width="18.75" style="931" customWidth="1"/>
    <col min="1536" max="1537" width="9" style="931"/>
    <col min="1538" max="1538" width="9.875" style="931" customWidth="1"/>
    <col min="1539" max="1789" width="9" style="931"/>
    <col min="1790" max="1790" width="18.25" style="931" customWidth="1"/>
    <col min="1791" max="1791" width="18.75" style="931" customWidth="1"/>
    <col min="1792" max="1793" width="9" style="931"/>
    <col min="1794" max="1794" width="9.875" style="931" customWidth="1"/>
    <col min="1795" max="2045" width="9" style="931"/>
    <col min="2046" max="2046" width="18.25" style="931" customWidth="1"/>
    <col min="2047" max="2047" width="18.75" style="931" customWidth="1"/>
    <col min="2048" max="2049" width="9" style="931"/>
    <col min="2050" max="2050" width="9.875" style="931" customWidth="1"/>
    <col min="2051" max="2301" width="9" style="931"/>
    <col min="2302" max="2302" width="18.25" style="931" customWidth="1"/>
    <col min="2303" max="2303" width="18.75" style="931" customWidth="1"/>
    <col min="2304" max="2305" width="9" style="931"/>
    <col min="2306" max="2306" width="9.875" style="931" customWidth="1"/>
    <col min="2307" max="2557" width="9" style="931"/>
    <col min="2558" max="2558" width="18.25" style="931" customWidth="1"/>
    <col min="2559" max="2559" width="18.75" style="931" customWidth="1"/>
    <col min="2560" max="2561" width="9" style="931"/>
    <col min="2562" max="2562" width="9.875" style="931" customWidth="1"/>
    <col min="2563" max="2813" width="9" style="931"/>
    <col min="2814" max="2814" width="18.25" style="931" customWidth="1"/>
    <col min="2815" max="2815" width="18.75" style="931" customWidth="1"/>
    <col min="2816" max="2817" width="9" style="931"/>
    <col min="2818" max="2818" width="9.875" style="931" customWidth="1"/>
    <col min="2819" max="3069" width="9" style="931"/>
    <col min="3070" max="3070" width="18.25" style="931" customWidth="1"/>
    <col min="3071" max="3071" width="18.75" style="931" customWidth="1"/>
    <col min="3072" max="3073" width="9" style="931"/>
    <col min="3074" max="3074" width="9.875" style="931" customWidth="1"/>
    <col min="3075" max="3325" width="9" style="931"/>
    <col min="3326" max="3326" width="18.25" style="931" customWidth="1"/>
    <col min="3327" max="3327" width="18.75" style="931" customWidth="1"/>
    <col min="3328" max="3329" width="9" style="931"/>
    <col min="3330" max="3330" width="9.875" style="931" customWidth="1"/>
    <col min="3331" max="3581" width="9" style="931"/>
    <col min="3582" max="3582" width="18.25" style="931" customWidth="1"/>
    <col min="3583" max="3583" width="18.75" style="931" customWidth="1"/>
    <col min="3584" max="3585" width="9" style="931"/>
    <col min="3586" max="3586" width="9.875" style="931" customWidth="1"/>
    <col min="3587" max="3837" width="9" style="931"/>
    <col min="3838" max="3838" width="18.25" style="931" customWidth="1"/>
    <col min="3839" max="3839" width="18.75" style="931" customWidth="1"/>
    <col min="3840" max="3841" width="9" style="931"/>
    <col min="3842" max="3842" width="9.875" style="931" customWidth="1"/>
    <col min="3843" max="4093" width="9" style="931"/>
    <col min="4094" max="4094" width="18.25" style="931" customWidth="1"/>
    <col min="4095" max="4095" width="18.75" style="931" customWidth="1"/>
    <col min="4096" max="4097" width="9" style="931"/>
    <col min="4098" max="4098" width="9.875" style="931" customWidth="1"/>
    <col min="4099" max="4349" width="9" style="931"/>
    <col min="4350" max="4350" width="18.25" style="931" customWidth="1"/>
    <col min="4351" max="4351" width="18.75" style="931" customWidth="1"/>
    <col min="4352" max="4353" width="9" style="931"/>
    <col min="4354" max="4354" width="9.875" style="931" customWidth="1"/>
    <col min="4355" max="4605" width="9" style="931"/>
    <col min="4606" max="4606" width="18.25" style="931" customWidth="1"/>
    <col min="4607" max="4607" width="18.75" style="931" customWidth="1"/>
    <col min="4608" max="4609" width="9" style="931"/>
    <col min="4610" max="4610" width="9.875" style="931" customWidth="1"/>
    <col min="4611" max="4861" width="9" style="931"/>
    <col min="4862" max="4862" width="18.25" style="931" customWidth="1"/>
    <col min="4863" max="4863" width="18.75" style="931" customWidth="1"/>
    <col min="4864" max="4865" width="9" style="931"/>
    <col min="4866" max="4866" width="9.875" style="931" customWidth="1"/>
    <col min="4867" max="5117" width="9" style="931"/>
    <col min="5118" max="5118" width="18.25" style="931" customWidth="1"/>
    <col min="5119" max="5119" width="18.75" style="931" customWidth="1"/>
    <col min="5120" max="5121" width="9" style="931"/>
    <col min="5122" max="5122" width="9.875" style="931" customWidth="1"/>
    <col min="5123" max="5373" width="9" style="931"/>
    <col min="5374" max="5374" width="18.25" style="931" customWidth="1"/>
    <col min="5375" max="5375" width="18.75" style="931" customWidth="1"/>
    <col min="5376" max="5377" width="9" style="931"/>
    <col min="5378" max="5378" width="9.875" style="931" customWidth="1"/>
    <col min="5379" max="5629" width="9" style="931"/>
    <col min="5630" max="5630" width="18.25" style="931" customWidth="1"/>
    <col min="5631" max="5631" width="18.75" style="931" customWidth="1"/>
    <col min="5632" max="5633" width="9" style="931"/>
    <col min="5634" max="5634" width="9.875" style="931" customWidth="1"/>
    <col min="5635" max="5885" width="9" style="931"/>
    <col min="5886" max="5886" width="18.25" style="931" customWidth="1"/>
    <col min="5887" max="5887" width="18.75" style="931" customWidth="1"/>
    <col min="5888" max="5889" width="9" style="931"/>
    <col min="5890" max="5890" width="9.875" style="931" customWidth="1"/>
    <col min="5891" max="6141" width="9" style="931"/>
    <col min="6142" max="6142" width="18.25" style="931" customWidth="1"/>
    <col min="6143" max="6143" width="18.75" style="931" customWidth="1"/>
    <col min="6144" max="6145" width="9" style="931"/>
    <col min="6146" max="6146" width="9.875" style="931" customWidth="1"/>
    <col min="6147" max="6397" width="9" style="931"/>
    <col min="6398" max="6398" width="18.25" style="931" customWidth="1"/>
    <col min="6399" max="6399" width="18.75" style="931" customWidth="1"/>
    <col min="6400" max="6401" width="9" style="931"/>
    <col min="6402" max="6402" width="9.875" style="931" customWidth="1"/>
    <col min="6403" max="6653" width="9" style="931"/>
    <col min="6654" max="6654" width="18.25" style="931" customWidth="1"/>
    <col min="6655" max="6655" width="18.75" style="931" customWidth="1"/>
    <col min="6656" max="6657" width="9" style="931"/>
    <col min="6658" max="6658" width="9.875" style="931" customWidth="1"/>
    <col min="6659" max="6909" width="9" style="931"/>
    <col min="6910" max="6910" width="18.25" style="931" customWidth="1"/>
    <col min="6911" max="6911" width="18.75" style="931" customWidth="1"/>
    <col min="6912" max="6913" width="9" style="931"/>
    <col min="6914" max="6914" width="9.875" style="931" customWidth="1"/>
    <col min="6915" max="7165" width="9" style="931"/>
    <col min="7166" max="7166" width="18.25" style="931" customWidth="1"/>
    <col min="7167" max="7167" width="18.75" style="931" customWidth="1"/>
    <col min="7168" max="7169" width="9" style="931"/>
    <col min="7170" max="7170" width="9.875" style="931" customWidth="1"/>
    <col min="7171" max="7421" width="9" style="931"/>
    <col min="7422" max="7422" width="18.25" style="931" customWidth="1"/>
    <col min="7423" max="7423" width="18.75" style="931" customWidth="1"/>
    <col min="7424" max="7425" width="9" style="931"/>
    <col min="7426" max="7426" width="9.875" style="931" customWidth="1"/>
    <col min="7427" max="7677" width="9" style="931"/>
    <col min="7678" max="7678" width="18.25" style="931" customWidth="1"/>
    <col min="7679" max="7679" width="18.75" style="931" customWidth="1"/>
    <col min="7680" max="7681" width="9" style="931"/>
    <col min="7682" max="7682" width="9.875" style="931" customWidth="1"/>
    <col min="7683" max="7933" width="9" style="931"/>
    <col min="7934" max="7934" width="18.25" style="931" customWidth="1"/>
    <col min="7935" max="7935" width="18.75" style="931" customWidth="1"/>
    <col min="7936" max="7937" width="9" style="931"/>
    <col min="7938" max="7938" width="9.875" style="931" customWidth="1"/>
    <col min="7939" max="8189" width="9" style="931"/>
    <col min="8190" max="8190" width="18.25" style="931" customWidth="1"/>
    <col min="8191" max="8191" width="18.75" style="931" customWidth="1"/>
    <col min="8192" max="8193" width="9" style="931"/>
    <col min="8194" max="8194" width="9.875" style="931" customWidth="1"/>
    <col min="8195" max="8445" width="9" style="931"/>
    <col min="8446" max="8446" width="18.25" style="931" customWidth="1"/>
    <col min="8447" max="8447" width="18.75" style="931" customWidth="1"/>
    <col min="8448" max="8449" width="9" style="931"/>
    <col min="8450" max="8450" width="9.875" style="931" customWidth="1"/>
    <col min="8451" max="8701" width="9" style="931"/>
    <col min="8702" max="8702" width="18.25" style="931" customWidth="1"/>
    <col min="8703" max="8703" width="18.75" style="931" customWidth="1"/>
    <col min="8704" max="8705" width="9" style="931"/>
    <col min="8706" max="8706" width="9.875" style="931" customWidth="1"/>
    <col min="8707" max="8957" width="9" style="931"/>
    <col min="8958" max="8958" width="18.25" style="931" customWidth="1"/>
    <col min="8959" max="8959" width="18.75" style="931" customWidth="1"/>
    <col min="8960" max="8961" width="9" style="931"/>
    <col min="8962" max="8962" width="9.875" style="931" customWidth="1"/>
    <col min="8963" max="9213" width="9" style="931"/>
    <col min="9214" max="9214" width="18.25" style="931" customWidth="1"/>
    <col min="9215" max="9215" width="18.75" style="931" customWidth="1"/>
    <col min="9216" max="9217" width="9" style="931"/>
    <col min="9218" max="9218" width="9.875" style="931" customWidth="1"/>
    <col min="9219" max="9469" width="9" style="931"/>
    <col min="9470" max="9470" width="18.25" style="931" customWidth="1"/>
    <col min="9471" max="9471" width="18.75" style="931" customWidth="1"/>
    <col min="9472" max="9473" width="9" style="931"/>
    <col min="9474" max="9474" width="9.875" style="931" customWidth="1"/>
    <col min="9475" max="9725" width="9" style="931"/>
    <col min="9726" max="9726" width="18.25" style="931" customWidth="1"/>
    <col min="9727" max="9727" width="18.75" style="931" customWidth="1"/>
    <col min="9728" max="9729" width="9" style="931"/>
    <col min="9730" max="9730" width="9.875" style="931" customWidth="1"/>
    <col min="9731" max="9981" width="9" style="931"/>
    <col min="9982" max="9982" width="18.25" style="931" customWidth="1"/>
    <col min="9983" max="9983" width="18.75" style="931" customWidth="1"/>
    <col min="9984" max="9985" width="9" style="931"/>
    <col min="9986" max="9986" width="9.875" style="931" customWidth="1"/>
    <col min="9987" max="10237" width="9" style="931"/>
    <col min="10238" max="10238" width="18.25" style="931" customWidth="1"/>
    <col min="10239" max="10239" width="18.75" style="931" customWidth="1"/>
    <col min="10240" max="10241" width="9" style="931"/>
    <col min="10242" max="10242" width="9.875" style="931" customWidth="1"/>
    <col min="10243" max="10493" width="9" style="931"/>
    <col min="10494" max="10494" width="18.25" style="931" customWidth="1"/>
    <col min="10495" max="10495" width="18.75" style="931" customWidth="1"/>
    <col min="10496" max="10497" width="9" style="931"/>
    <col min="10498" max="10498" width="9.875" style="931" customWidth="1"/>
    <col min="10499" max="10749" width="9" style="931"/>
    <col min="10750" max="10750" width="18.25" style="931" customWidth="1"/>
    <col min="10751" max="10751" width="18.75" style="931" customWidth="1"/>
    <col min="10752" max="10753" width="9" style="931"/>
    <col min="10754" max="10754" width="9.875" style="931" customWidth="1"/>
    <col min="10755" max="11005" width="9" style="931"/>
    <col min="11006" max="11006" width="18.25" style="931" customWidth="1"/>
    <col min="11007" max="11007" width="18.75" style="931" customWidth="1"/>
    <col min="11008" max="11009" width="9" style="931"/>
    <col min="11010" max="11010" width="9.875" style="931" customWidth="1"/>
    <col min="11011" max="11261" width="9" style="931"/>
    <col min="11262" max="11262" width="18.25" style="931" customWidth="1"/>
    <col min="11263" max="11263" width="18.75" style="931" customWidth="1"/>
    <col min="11264" max="11265" width="9" style="931"/>
    <col min="11266" max="11266" width="9.875" style="931" customWidth="1"/>
    <col min="11267" max="11517" width="9" style="931"/>
    <col min="11518" max="11518" width="18.25" style="931" customWidth="1"/>
    <col min="11519" max="11519" width="18.75" style="931" customWidth="1"/>
    <col min="11520" max="11521" width="9" style="931"/>
    <col min="11522" max="11522" width="9.875" style="931" customWidth="1"/>
    <col min="11523" max="11773" width="9" style="931"/>
    <col min="11774" max="11774" width="18.25" style="931" customWidth="1"/>
    <col min="11775" max="11775" width="18.75" style="931" customWidth="1"/>
    <col min="11776" max="11777" width="9" style="931"/>
    <col min="11778" max="11778" width="9.875" style="931" customWidth="1"/>
    <col min="11779" max="12029" width="9" style="931"/>
    <col min="12030" max="12030" width="18.25" style="931" customWidth="1"/>
    <col min="12031" max="12031" width="18.75" style="931" customWidth="1"/>
    <col min="12032" max="12033" width="9" style="931"/>
    <col min="12034" max="12034" width="9.875" style="931" customWidth="1"/>
    <col min="12035" max="12285" width="9" style="931"/>
    <col min="12286" max="12286" width="18.25" style="931" customWidth="1"/>
    <col min="12287" max="12287" width="18.75" style="931" customWidth="1"/>
    <col min="12288" max="12289" width="9" style="931"/>
    <col min="12290" max="12290" width="9.875" style="931" customWidth="1"/>
    <col min="12291" max="12541" width="9" style="931"/>
    <col min="12542" max="12542" width="18.25" style="931" customWidth="1"/>
    <col min="12543" max="12543" width="18.75" style="931" customWidth="1"/>
    <col min="12544" max="12545" width="9" style="931"/>
    <col min="12546" max="12546" width="9.875" style="931" customWidth="1"/>
    <col min="12547" max="12797" width="9" style="931"/>
    <col min="12798" max="12798" width="18.25" style="931" customWidth="1"/>
    <col min="12799" max="12799" width="18.75" style="931" customWidth="1"/>
    <col min="12800" max="12801" width="9" style="931"/>
    <col min="12802" max="12802" width="9.875" style="931" customWidth="1"/>
    <col min="12803" max="13053" width="9" style="931"/>
    <col min="13054" max="13054" width="18.25" style="931" customWidth="1"/>
    <col min="13055" max="13055" width="18.75" style="931" customWidth="1"/>
    <col min="13056" max="13057" width="9" style="931"/>
    <col min="13058" max="13058" width="9.875" style="931" customWidth="1"/>
    <col min="13059" max="13309" width="9" style="931"/>
    <col min="13310" max="13310" width="18.25" style="931" customWidth="1"/>
    <col min="13311" max="13311" width="18.75" style="931" customWidth="1"/>
    <col min="13312" max="13313" width="9" style="931"/>
    <col min="13314" max="13314" width="9.875" style="931" customWidth="1"/>
    <col min="13315" max="13565" width="9" style="931"/>
    <col min="13566" max="13566" width="18.25" style="931" customWidth="1"/>
    <col min="13567" max="13567" width="18.75" style="931" customWidth="1"/>
    <col min="13568" max="13569" width="9" style="931"/>
    <col min="13570" max="13570" width="9.875" style="931" customWidth="1"/>
    <col min="13571" max="13821" width="9" style="931"/>
    <col min="13822" max="13822" width="18.25" style="931" customWidth="1"/>
    <col min="13823" max="13823" width="18.75" style="931" customWidth="1"/>
    <col min="13824" max="13825" width="9" style="931"/>
    <col min="13826" max="13826" width="9.875" style="931" customWidth="1"/>
    <col min="13827" max="14077" width="9" style="931"/>
    <col min="14078" max="14078" width="18.25" style="931" customWidth="1"/>
    <col min="14079" max="14079" width="18.75" style="931" customWidth="1"/>
    <col min="14080" max="14081" width="9" style="931"/>
    <col min="14082" max="14082" width="9.875" style="931" customWidth="1"/>
    <col min="14083" max="14333" width="9" style="931"/>
    <col min="14334" max="14334" width="18.25" style="931" customWidth="1"/>
    <col min="14335" max="14335" width="18.75" style="931" customWidth="1"/>
    <col min="14336" max="14337" width="9" style="931"/>
    <col min="14338" max="14338" width="9.875" style="931" customWidth="1"/>
    <col min="14339" max="14589" width="9" style="931"/>
    <col min="14590" max="14590" width="18.25" style="931" customWidth="1"/>
    <col min="14591" max="14591" width="18.75" style="931" customWidth="1"/>
    <col min="14592" max="14593" width="9" style="931"/>
    <col min="14594" max="14594" width="9.875" style="931" customWidth="1"/>
    <col min="14595" max="14845" width="9" style="931"/>
    <col min="14846" max="14846" width="18.25" style="931" customWidth="1"/>
    <col min="14847" max="14847" width="18.75" style="931" customWidth="1"/>
    <col min="14848" max="14849" width="9" style="931"/>
    <col min="14850" max="14850" width="9.875" style="931" customWidth="1"/>
    <col min="14851" max="15101" width="9" style="931"/>
    <col min="15102" max="15102" width="18.25" style="931" customWidth="1"/>
    <col min="15103" max="15103" width="18.75" style="931" customWidth="1"/>
    <col min="15104" max="15105" width="9" style="931"/>
    <col min="15106" max="15106" width="9.875" style="931" customWidth="1"/>
    <col min="15107" max="15357" width="9" style="931"/>
    <col min="15358" max="15358" width="18.25" style="931" customWidth="1"/>
    <col min="15359" max="15359" width="18.75" style="931" customWidth="1"/>
    <col min="15360" max="15361" width="9" style="931"/>
    <col min="15362" max="15362" width="9.875" style="931" customWidth="1"/>
    <col min="15363" max="15613" width="9" style="931"/>
    <col min="15614" max="15614" width="18.25" style="931" customWidth="1"/>
    <col min="15615" max="15615" width="18.75" style="931" customWidth="1"/>
    <col min="15616" max="15617" width="9" style="931"/>
    <col min="15618" max="15618" width="9.875" style="931" customWidth="1"/>
    <col min="15619" max="15869" width="9" style="931"/>
    <col min="15870" max="15870" width="18.25" style="931" customWidth="1"/>
    <col min="15871" max="15871" width="18.75" style="931" customWidth="1"/>
    <col min="15872" max="15873" width="9" style="931"/>
    <col min="15874" max="15874" width="9.875" style="931" customWidth="1"/>
    <col min="15875" max="16125" width="9" style="931"/>
    <col min="16126" max="16126" width="18.25" style="931" customWidth="1"/>
    <col min="16127" max="16127" width="18.75" style="931" customWidth="1"/>
    <col min="16128" max="16129" width="9" style="931"/>
    <col min="16130" max="16130" width="9.875" style="931" customWidth="1"/>
    <col min="16131" max="16384" width="9" style="931"/>
  </cols>
  <sheetData>
    <row r="1" spans="1:31" ht="19.5" thickBot="1" x14ac:dyDescent="0.35">
      <c r="A1" s="1009" t="s">
        <v>2584</v>
      </c>
      <c r="C1" s="1019" t="s">
        <v>3040</v>
      </c>
      <c r="D1" s="1020"/>
      <c r="E1" s="1021"/>
      <c r="F1" s="1021"/>
      <c r="G1" s="1021"/>
      <c r="H1" s="1021"/>
      <c r="I1" s="1021"/>
      <c r="J1" s="1021"/>
      <c r="K1" s="1021"/>
      <c r="L1" s="1022"/>
    </row>
    <row r="2" spans="1:31" ht="15.75" x14ac:dyDescent="0.25">
      <c r="A2" s="930"/>
      <c r="C2" s="299"/>
      <c r="O2" s="931" t="s">
        <v>2971</v>
      </c>
    </row>
    <row r="3" spans="1:31" ht="12.75" x14ac:dyDescent="0.2">
      <c r="A3" s="932"/>
      <c r="F3" s="1010" t="s">
        <v>3020</v>
      </c>
      <c r="J3" s="1007" t="s">
        <v>2565</v>
      </c>
      <c r="AB3" s="931" t="s">
        <v>3039</v>
      </c>
      <c r="AD3" s="1044" t="s">
        <v>3037</v>
      </c>
      <c r="AE3" s="1044" t="s">
        <v>3038</v>
      </c>
    </row>
    <row r="4" spans="1:31" x14ac:dyDescent="0.2">
      <c r="A4" s="935" t="s">
        <v>3019</v>
      </c>
      <c r="B4" s="935" t="s">
        <v>2585</v>
      </c>
      <c r="C4" s="935" t="s">
        <v>2586</v>
      </c>
      <c r="E4" s="938" t="s">
        <v>115</v>
      </c>
      <c r="F4" s="938" t="s">
        <v>1752</v>
      </c>
      <c r="G4" s="938" t="s">
        <v>1922</v>
      </c>
      <c r="I4" s="938" t="s">
        <v>115</v>
      </c>
      <c r="J4" s="938" t="s">
        <v>1752</v>
      </c>
      <c r="K4" s="938" t="s">
        <v>3018</v>
      </c>
      <c r="L4" s="938" t="s">
        <v>1922</v>
      </c>
      <c r="O4" s="1606" t="s">
        <v>2972</v>
      </c>
      <c r="P4" s="1607"/>
      <c r="Q4" s="1607"/>
      <c r="R4" s="1607"/>
      <c r="S4" s="1607"/>
      <c r="T4" s="1607"/>
      <c r="U4" s="1607"/>
      <c r="V4" s="1607"/>
      <c r="W4" s="1607"/>
      <c r="X4" s="1607"/>
      <c r="Y4" s="1568"/>
      <c r="AB4" s="1033" t="s">
        <v>2587</v>
      </c>
      <c r="AC4" s="1040"/>
      <c r="AD4" s="1049" t="str">
        <f>IF($G5&gt;0,$G5,"")</f>
        <v/>
      </c>
      <c r="AE4" s="1045" t="str">
        <f>IF($L5&gt;0,$L5,"")</f>
        <v/>
      </c>
    </row>
    <row r="5" spans="1:31" x14ac:dyDescent="0.2">
      <c r="A5" s="933" t="s">
        <v>2587</v>
      </c>
      <c r="B5" s="933" t="s">
        <v>2588</v>
      </c>
      <c r="C5" s="933"/>
      <c r="E5" s="1015">
        <v>0</v>
      </c>
      <c r="F5" s="1014">
        <f>MMC+MRC</f>
        <v>0</v>
      </c>
      <c r="G5" s="1008">
        <f t="shared" ref="G5:G11" si="0">E5+F5</f>
        <v>0</v>
      </c>
      <c r="I5" s="1015"/>
      <c r="J5" s="1014">
        <f>MMC+MRC</f>
        <v>0</v>
      </c>
      <c r="K5" s="1014"/>
      <c r="L5" s="1008">
        <f t="shared" ref="L5:L7" si="1">I5+J5</f>
        <v>0</v>
      </c>
      <c r="O5" s="1607"/>
      <c r="P5" s="1607"/>
      <c r="Q5" s="1607"/>
      <c r="R5" s="1607"/>
      <c r="S5" s="1607"/>
      <c r="T5" s="1607"/>
      <c r="U5" s="1607"/>
      <c r="V5" s="1607"/>
      <c r="W5" s="1607"/>
      <c r="X5" s="1607"/>
      <c r="Y5" s="1568"/>
      <c r="AB5" s="1047" t="s">
        <v>2589</v>
      </c>
      <c r="AC5" s="1048"/>
      <c r="AD5" s="1049" t="str">
        <f t="shared" ref="AD5:AD10" si="2">IF($G6&gt;0,$G6,"")</f>
        <v/>
      </c>
      <c r="AE5" s="1045" t="str">
        <f t="shared" ref="AE5:AE10" si="3">IF($L6&gt;0,$L6,"")</f>
        <v/>
      </c>
    </row>
    <row r="6" spans="1:31" x14ac:dyDescent="0.2">
      <c r="A6" s="934" t="s">
        <v>2589</v>
      </c>
      <c r="B6" s="933" t="s">
        <v>2590</v>
      </c>
      <c r="C6" s="933" t="s">
        <v>2591</v>
      </c>
      <c r="E6" s="1015">
        <v>0</v>
      </c>
      <c r="F6" s="1014">
        <f>MMC</f>
        <v>0</v>
      </c>
      <c r="G6" s="1008">
        <f t="shared" si="0"/>
        <v>0</v>
      </c>
      <c r="I6" s="1015"/>
      <c r="J6" s="1014">
        <f>MMC</f>
        <v>0</v>
      </c>
      <c r="K6" s="1014"/>
      <c r="L6" s="1008">
        <f t="shared" si="1"/>
        <v>0</v>
      </c>
      <c r="AB6" s="1035" t="s">
        <v>2592</v>
      </c>
      <c r="AC6" s="1041"/>
      <c r="AD6" s="1049" t="str">
        <f t="shared" si="2"/>
        <v/>
      </c>
      <c r="AE6" s="1045" t="str">
        <f t="shared" si="3"/>
        <v/>
      </c>
    </row>
    <row r="7" spans="1:31" x14ac:dyDescent="0.2">
      <c r="A7" s="933" t="s">
        <v>2592</v>
      </c>
      <c r="B7" s="933" t="s">
        <v>2590</v>
      </c>
      <c r="C7" s="933" t="s">
        <v>2593</v>
      </c>
      <c r="E7" s="1015"/>
      <c r="F7" s="1014">
        <f>MMC</f>
        <v>0</v>
      </c>
      <c r="G7" s="1008">
        <f t="shared" si="0"/>
        <v>0</v>
      </c>
      <c r="I7" s="1015"/>
      <c r="J7" s="1014">
        <f>MMC</f>
        <v>0</v>
      </c>
      <c r="K7" s="1014"/>
      <c r="L7" s="1008">
        <f t="shared" si="1"/>
        <v>0</v>
      </c>
      <c r="O7" s="1606" t="s">
        <v>2973</v>
      </c>
      <c r="P7" s="1607"/>
      <c r="Q7" s="1607"/>
      <c r="R7" s="1607"/>
      <c r="S7" s="1607"/>
      <c r="T7" s="1607"/>
      <c r="U7" s="1607"/>
      <c r="V7" s="1607"/>
      <c r="W7" s="1607"/>
      <c r="X7" s="1607"/>
      <c r="Y7" s="1568"/>
      <c r="AB7" s="1050" t="s">
        <v>2594</v>
      </c>
      <c r="AC7" s="1048"/>
      <c r="AD7" s="1049" t="str">
        <f t="shared" si="2"/>
        <v/>
      </c>
      <c r="AE7" s="1045" t="str">
        <f t="shared" si="3"/>
        <v/>
      </c>
    </row>
    <row r="8" spans="1:31" x14ac:dyDescent="0.2">
      <c r="A8" s="933" t="s">
        <v>2594</v>
      </c>
      <c r="B8" s="933" t="s">
        <v>2595</v>
      </c>
      <c r="C8" s="933" t="s">
        <v>2596</v>
      </c>
      <c r="E8" s="1015"/>
      <c r="F8" s="1014">
        <f>MM</f>
        <v>0</v>
      </c>
      <c r="G8" s="1008">
        <f>E8+F8</f>
        <v>0</v>
      </c>
      <c r="I8" s="1015"/>
      <c r="J8" s="1014">
        <v>0</v>
      </c>
      <c r="K8" s="1014">
        <v>0</v>
      </c>
      <c r="L8" s="1008">
        <f>I8+J8*K8</f>
        <v>0</v>
      </c>
      <c r="O8" s="1607"/>
      <c r="P8" s="1607"/>
      <c r="Q8" s="1607"/>
      <c r="R8" s="1607"/>
      <c r="S8" s="1607"/>
      <c r="T8" s="1607"/>
      <c r="U8" s="1607"/>
      <c r="V8" s="1607"/>
      <c r="W8" s="1607"/>
      <c r="X8" s="1607"/>
      <c r="Y8" s="1568"/>
      <c r="AB8" s="1035" t="s">
        <v>2597</v>
      </c>
      <c r="AC8" s="1041"/>
      <c r="AD8" s="1049" t="str">
        <f t="shared" si="2"/>
        <v/>
      </c>
      <c r="AE8" s="1045" t="str">
        <f t="shared" si="3"/>
        <v/>
      </c>
    </row>
    <row r="9" spans="1:31" x14ac:dyDescent="0.2">
      <c r="A9" s="933" t="s">
        <v>2597</v>
      </c>
      <c r="B9" s="933" t="s">
        <v>2598</v>
      </c>
      <c r="C9" s="933" t="s">
        <v>2596</v>
      </c>
      <c r="E9" s="1015"/>
      <c r="F9" s="1217">
        <f>MR</f>
        <v>0</v>
      </c>
      <c r="G9" s="1008">
        <f t="shared" si="0"/>
        <v>0</v>
      </c>
      <c r="I9" s="1015"/>
      <c r="J9" s="1014">
        <f>MR</f>
        <v>0</v>
      </c>
      <c r="K9" s="1014">
        <v>10</v>
      </c>
      <c r="L9" s="1008">
        <f>I9+J9*K9</f>
        <v>0</v>
      </c>
      <c r="AB9" s="1050" t="s">
        <v>2599</v>
      </c>
      <c r="AC9" s="1048"/>
      <c r="AD9" s="1049" t="str">
        <f t="shared" si="2"/>
        <v/>
      </c>
      <c r="AE9" s="1045" t="str">
        <f t="shared" si="3"/>
        <v/>
      </c>
    </row>
    <row r="10" spans="1:31" x14ac:dyDescent="0.2">
      <c r="A10" s="933" t="s">
        <v>2599</v>
      </c>
      <c r="B10" s="933" t="s">
        <v>2588</v>
      </c>
      <c r="C10" s="933" t="s">
        <v>2600</v>
      </c>
      <c r="E10" s="1015"/>
      <c r="F10" s="1014">
        <f>MMC+MRC</f>
        <v>0</v>
      </c>
      <c r="G10" s="1008">
        <f>E10+F10</f>
        <v>0</v>
      </c>
      <c r="I10" s="1015"/>
      <c r="J10" s="1014">
        <f>MMC+MRC</f>
        <v>0</v>
      </c>
      <c r="K10" s="1014"/>
      <c r="L10" s="1008">
        <f>I10+J10</f>
        <v>0</v>
      </c>
      <c r="O10" s="1606" t="s">
        <v>2979</v>
      </c>
      <c r="P10" s="1568"/>
      <c r="Q10" s="1568"/>
      <c r="R10" s="1568"/>
      <c r="S10" s="1568"/>
      <c r="T10" s="1568"/>
      <c r="U10" s="1568"/>
      <c r="V10" s="1568"/>
      <c r="W10" s="1568"/>
      <c r="X10" s="1568"/>
      <c r="Y10" s="1568"/>
      <c r="AB10" s="1034" t="s">
        <v>2980</v>
      </c>
      <c r="AC10" s="1041"/>
      <c r="AD10" s="1049" t="str">
        <f t="shared" si="2"/>
        <v/>
      </c>
      <c r="AE10" s="1045" t="str">
        <f t="shared" si="3"/>
        <v/>
      </c>
    </row>
    <row r="11" spans="1:31" x14ac:dyDescent="0.2">
      <c r="A11" s="934" t="s">
        <v>2980</v>
      </c>
      <c r="B11" s="933" t="s">
        <v>2590</v>
      </c>
      <c r="C11" s="933" t="s">
        <v>2596</v>
      </c>
      <c r="E11" s="1015"/>
      <c r="F11" s="1014"/>
      <c r="G11" s="1008">
        <f t="shared" si="0"/>
        <v>0</v>
      </c>
      <c r="I11" s="1015"/>
      <c r="J11" s="1014"/>
      <c r="K11" s="1014"/>
      <c r="L11" s="1008">
        <f t="shared" ref="L11" si="4">I11+J11</f>
        <v>0</v>
      </c>
      <c r="O11" s="1568"/>
      <c r="P11" s="1568"/>
      <c r="Q11" s="1568"/>
      <c r="R11" s="1568"/>
      <c r="S11" s="1568"/>
      <c r="T11" s="1568"/>
      <c r="U11" s="1568"/>
      <c r="V11" s="1568"/>
      <c r="W11" s="1568"/>
      <c r="X11" s="1568"/>
      <c r="Y11" s="1568"/>
      <c r="AB11" s="1051" t="s">
        <v>2602</v>
      </c>
      <c r="AC11" s="1052"/>
      <c r="AD11" s="1053" t="str">
        <f>IF($G14&gt;0,$G14,"")</f>
        <v/>
      </c>
      <c r="AE11" s="1053" t="str">
        <f>IF($L14&gt;0,$L14,"")</f>
        <v/>
      </c>
    </row>
    <row r="12" spans="1:31" x14ac:dyDescent="0.2">
      <c r="A12" s="1006"/>
      <c r="E12" s="836"/>
      <c r="F12" s="836"/>
      <c r="G12" s="836"/>
      <c r="I12" s="836"/>
      <c r="J12" s="836"/>
      <c r="K12" s="836"/>
      <c r="L12" s="836"/>
      <c r="O12" s="1568"/>
      <c r="P12" s="1568"/>
      <c r="Q12" s="1568"/>
      <c r="R12" s="1568"/>
      <c r="S12" s="1568"/>
      <c r="T12" s="1568"/>
      <c r="U12" s="1568"/>
      <c r="V12" s="1568"/>
      <c r="W12" s="1568"/>
      <c r="X12" s="1568"/>
      <c r="Y12" s="1568"/>
      <c r="AB12" s="1036" t="s">
        <v>2604</v>
      </c>
      <c r="AC12" s="1042"/>
      <c r="AD12" s="1053" t="str">
        <f t="shared" ref="AD12:AD15" si="5">IF($G15&gt;0,$G15,"")</f>
        <v/>
      </c>
      <c r="AE12" s="1053" t="str">
        <f t="shared" ref="AE12:AE15" si="6">IF($L15&gt;0,$L15,"")</f>
        <v/>
      </c>
    </row>
    <row r="13" spans="1:31" x14ac:dyDescent="0.2">
      <c r="A13" s="936" t="s">
        <v>2601</v>
      </c>
      <c r="B13" s="936" t="s">
        <v>2585</v>
      </c>
      <c r="C13" s="936" t="s">
        <v>2586</v>
      </c>
      <c r="E13" s="836"/>
      <c r="F13" s="836"/>
      <c r="G13" s="836"/>
      <c r="I13" s="836"/>
      <c r="J13" s="836"/>
      <c r="K13" s="836"/>
      <c r="L13" s="836"/>
      <c r="O13" s="1568"/>
      <c r="P13" s="1568"/>
      <c r="Q13" s="1568"/>
      <c r="R13" s="1568"/>
      <c r="S13" s="1568"/>
      <c r="T13" s="1568"/>
      <c r="U13" s="1568"/>
      <c r="V13" s="1568"/>
      <c r="W13" s="1568"/>
      <c r="X13" s="1568"/>
      <c r="Y13" s="1568"/>
      <c r="AB13" s="1036" t="s">
        <v>2606</v>
      </c>
      <c r="AC13" s="1052"/>
      <c r="AD13" s="1053" t="str">
        <f t="shared" si="5"/>
        <v/>
      </c>
      <c r="AE13" s="1053" t="str">
        <f t="shared" si="6"/>
        <v/>
      </c>
    </row>
    <row r="14" spans="1:31" x14ac:dyDescent="0.2">
      <c r="A14" s="933" t="s">
        <v>2602</v>
      </c>
      <c r="B14" s="933" t="s">
        <v>2603</v>
      </c>
      <c r="C14" s="933"/>
      <c r="E14" s="1015"/>
      <c r="F14" s="1014">
        <f>PMP+PNP</f>
        <v>0</v>
      </c>
      <c r="G14" s="1008">
        <f t="shared" ref="G14:G39" si="7">E14+F14</f>
        <v>0</v>
      </c>
      <c r="I14" s="1015"/>
      <c r="J14" s="1014">
        <f>PMP+PNP</f>
        <v>0</v>
      </c>
      <c r="K14" s="1014"/>
      <c r="L14" s="1008">
        <f>I14+J14</f>
        <v>0</v>
      </c>
      <c r="O14" s="1568"/>
      <c r="P14" s="1568"/>
      <c r="Q14" s="1568"/>
      <c r="R14" s="1568"/>
      <c r="S14" s="1568"/>
      <c r="T14" s="1568"/>
      <c r="U14" s="1568"/>
      <c r="V14" s="1568"/>
      <c r="W14" s="1568"/>
      <c r="X14" s="1568"/>
      <c r="Y14" s="1568"/>
      <c r="AB14" s="1037" t="s">
        <v>2609</v>
      </c>
      <c r="AC14" s="1042"/>
      <c r="AD14" s="1053" t="str">
        <f t="shared" si="5"/>
        <v/>
      </c>
      <c r="AE14" s="1053" t="str">
        <f t="shared" si="6"/>
        <v/>
      </c>
    </row>
    <row r="15" spans="1:31" x14ac:dyDescent="0.2">
      <c r="A15" s="933" t="s">
        <v>2604</v>
      </c>
      <c r="B15" s="933" t="s">
        <v>2605</v>
      </c>
      <c r="C15" s="933"/>
      <c r="E15" s="1015"/>
      <c r="F15" s="1014">
        <f>PNP</f>
        <v>0</v>
      </c>
      <c r="G15" s="1008">
        <f t="shared" si="7"/>
        <v>0</v>
      </c>
      <c r="I15" s="1015"/>
      <c r="J15" s="1014">
        <f>PNP</f>
        <v>0</v>
      </c>
      <c r="K15" s="1014"/>
      <c r="L15" s="1008">
        <f t="shared" ref="L15:L18" si="8">I15+J15</f>
        <v>0</v>
      </c>
      <c r="O15" s="1568"/>
      <c r="P15" s="1568"/>
      <c r="Q15" s="1568"/>
      <c r="R15" s="1568"/>
      <c r="S15" s="1568"/>
      <c r="T15" s="1568"/>
      <c r="U15" s="1568"/>
      <c r="V15" s="1568"/>
      <c r="W15" s="1568"/>
      <c r="X15" s="1568"/>
      <c r="Y15" s="1568"/>
      <c r="AB15" s="1051" t="s">
        <v>3021</v>
      </c>
      <c r="AC15" s="1052"/>
      <c r="AD15" s="1058" t="str">
        <f t="shared" si="5"/>
        <v/>
      </c>
      <c r="AE15" s="1058" t="str">
        <f t="shared" si="6"/>
        <v/>
      </c>
    </row>
    <row r="16" spans="1:31" x14ac:dyDescent="0.2">
      <c r="A16" s="933" t="s">
        <v>2606</v>
      </c>
      <c r="B16" s="933" t="s">
        <v>2607</v>
      </c>
      <c r="C16" s="933" t="s">
        <v>2608</v>
      </c>
      <c r="E16" s="1015"/>
      <c r="F16" s="1014">
        <f>PM</f>
        <v>0</v>
      </c>
      <c r="G16" s="1008">
        <f t="shared" si="7"/>
        <v>0</v>
      </c>
      <c r="I16" s="1015"/>
      <c r="J16" s="1014">
        <f>PM</f>
        <v>0</v>
      </c>
      <c r="K16" s="1014"/>
      <c r="L16" s="1008">
        <f t="shared" si="8"/>
        <v>0</v>
      </c>
      <c r="O16" s="1568"/>
      <c r="P16" s="1568"/>
      <c r="Q16" s="1568"/>
      <c r="R16" s="1568"/>
      <c r="S16" s="1568"/>
      <c r="T16" s="1568"/>
      <c r="U16" s="1568"/>
      <c r="V16" s="1568"/>
      <c r="W16" s="1568"/>
      <c r="X16" s="1568"/>
      <c r="Y16" s="1568"/>
      <c r="AB16" s="1038" t="s">
        <v>2612</v>
      </c>
      <c r="AC16" s="1043"/>
      <c r="AD16" s="1059" t="str">
        <f>IF($G21&gt;0,$G21,"")</f>
        <v/>
      </c>
      <c r="AE16" s="1056" t="str">
        <f>IF($L21&gt;0,$L21,"")</f>
        <v/>
      </c>
    </row>
    <row r="17" spans="1:31" x14ac:dyDescent="0.2">
      <c r="A17" s="934" t="s">
        <v>2609</v>
      </c>
      <c r="B17" s="933" t="s">
        <v>2610</v>
      </c>
      <c r="C17" s="933" t="s">
        <v>2600</v>
      </c>
      <c r="E17" s="1015"/>
      <c r="F17" s="1014">
        <f>PMS+PNS</f>
        <v>0</v>
      </c>
      <c r="G17" s="1008">
        <f t="shared" si="7"/>
        <v>0</v>
      </c>
      <c r="I17" s="1015"/>
      <c r="J17" s="1014">
        <f>PMS+PNS</f>
        <v>0</v>
      </c>
      <c r="K17" s="1014"/>
      <c r="L17" s="1008">
        <f t="shared" si="8"/>
        <v>0</v>
      </c>
      <c r="AB17" s="1054" t="s">
        <v>2615</v>
      </c>
      <c r="AC17" s="1055"/>
      <c r="AD17" s="1046" t="str">
        <f t="shared" ref="AD17:AD35" si="9">IF($G22&gt;0,$G22,"")</f>
        <v/>
      </c>
      <c r="AE17" s="1046" t="str">
        <f t="shared" ref="AE17:AE35" si="10">IF($L22&gt;0,$L22,"")</f>
        <v/>
      </c>
    </row>
    <row r="18" spans="1:31" x14ac:dyDescent="0.2">
      <c r="A18" s="933" t="s">
        <v>3021</v>
      </c>
      <c r="B18" s="933"/>
      <c r="C18" s="933"/>
      <c r="E18" s="1015"/>
      <c r="F18" s="1014"/>
      <c r="G18" s="1008"/>
      <c r="I18" s="1015"/>
      <c r="J18" s="1014"/>
      <c r="K18" s="1014"/>
      <c r="L18" s="1008">
        <f t="shared" si="8"/>
        <v>0</v>
      </c>
      <c r="O18" s="1606" t="s">
        <v>2974</v>
      </c>
      <c r="P18" s="1568"/>
      <c r="Q18" s="1568"/>
      <c r="R18" s="1568"/>
      <c r="S18" s="1568"/>
      <c r="T18" s="1568"/>
      <c r="U18" s="1568"/>
      <c r="V18" s="1568"/>
      <c r="W18" s="1568"/>
      <c r="X18" s="1568"/>
      <c r="Y18" s="1568"/>
      <c r="AB18" s="1038" t="s">
        <v>2617</v>
      </c>
      <c r="AC18" s="1043"/>
      <c r="AD18" s="1059" t="str">
        <f t="shared" si="9"/>
        <v/>
      </c>
      <c r="AE18" s="1056" t="str">
        <f t="shared" si="10"/>
        <v/>
      </c>
    </row>
    <row r="19" spans="1:31" x14ac:dyDescent="0.2">
      <c r="E19" s="836"/>
      <c r="F19" s="836"/>
      <c r="G19" s="836"/>
      <c r="I19" s="836"/>
      <c r="J19" s="836"/>
      <c r="K19" s="836"/>
      <c r="L19" s="836"/>
      <c r="O19" s="1568"/>
      <c r="P19" s="1568"/>
      <c r="Q19" s="1568"/>
      <c r="R19" s="1568"/>
      <c r="S19" s="1568"/>
      <c r="T19" s="1568"/>
      <c r="U19" s="1568"/>
      <c r="V19" s="1568"/>
      <c r="W19" s="1568"/>
      <c r="X19" s="1568"/>
      <c r="Y19" s="1568"/>
      <c r="AB19" s="1054" t="s">
        <v>2619</v>
      </c>
      <c r="AC19" s="1055"/>
      <c r="AD19" s="1046" t="str">
        <f t="shared" si="9"/>
        <v/>
      </c>
      <c r="AE19" s="1046" t="str">
        <f t="shared" si="10"/>
        <v/>
      </c>
    </row>
    <row r="20" spans="1:31" x14ac:dyDescent="0.2">
      <c r="A20" s="937" t="s">
        <v>2611</v>
      </c>
      <c r="B20" s="937" t="s">
        <v>2585</v>
      </c>
      <c r="C20" s="937" t="s">
        <v>2586</v>
      </c>
      <c r="E20" s="836"/>
      <c r="F20" s="836"/>
      <c r="G20" s="836"/>
      <c r="I20" s="836"/>
      <c r="J20" s="836"/>
      <c r="K20" s="836"/>
      <c r="L20" s="836"/>
      <c r="O20" s="1568"/>
      <c r="P20" s="1568"/>
      <c r="Q20" s="1568"/>
      <c r="R20" s="1568"/>
      <c r="S20" s="1568"/>
      <c r="T20" s="1568"/>
      <c r="U20" s="1568"/>
      <c r="V20" s="1568"/>
      <c r="W20" s="1568"/>
      <c r="X20" s="1568"/>
      <c r="Y20" s="1568"/>
      <c r="AB20" s="1038" t="s">
        <v>2620</v>
      </c>
      <c r="AC20" s="1043"/>
      <c r="AD20" s="1059" t="str">
        <f t="shared" si="9"/>
        <v/>
      </c>
      <c r="AE20" s="1056" t="str">
        <f t="shared" si="10"/>
        <v/>
      </c>
    </row>
    <row r="21" spans="1:31" x14ac:dyDescent="0.2">
      <c r="A21" s="933" t="s">
        <v>2612</v>
      </c>
      <c r="B21" s="933" t="s">
        <v>2613</v>
      </c>
      <c r="C21" s="933" t="s">
        <v>2614</v>
      </c>
      <c r="E21" s="1015"/>
      <c r="F21" s="1014">
        <f>SM</f>
        <v>0</v>
      </c>
      <c r="G21" s="1008">
        <f t="shared" si="7"/>
        <v>0</v>
      </c>
      <c r="I21" s="1015"/>
      <c r="J21" s="1014">
        <f>SM</f>
        <v>0</v>
      </c>
      <c r="K21" s="1014"/>
      <c r="L21" s="1008">
        <f t="shared" ref="L21:L35" si="11">I21+J21</f>
        <v>0</v>
      </c>
      <c r="O21" s="1568"/>
      <c r="P21" s="1568"/>
      <c r="Q21" s="1568"/>
      <c r="R21" s="1568"/>
      <c r="S21" s="1568"/>
      <c r="T21" s="1568"/>
      <c r="U21" s="1568"/>
      <c r="V21" s="1568"/>
      <c r="W21" s="1568"/>
      <c r="X21" s="1568"/>
      <c r="Y21" s="1568"/>
      <c r="AB21" s="1054" t="s">
        <v>2622</v>
      </c>
      <c r="AC21" s="1055"/>
      <c r="AD21" s="1046" t="str">
        <f t="shared" si="9"/>
        <v/>
      </c>
      <c r="AE21" s="1046" t="str">
        <f t="shared" si="10"/>
        <v/>
      </c>
    </row>
    <row r="22" spans="1:31" x14ac:dyDescent="0.2">
      <c r="A22" s="933" t="s">
        <v>2615</v>
      </c>
      <c r="B22" s="933" t="s">
        <v>2616</v>
      </c>
      <c r="C22" s="933" t="s">
        <v>2591</v>
      </c>
      <c r="E22" s="1015"/>
      <c r="F22" s="1014">
        <f>SPC</f>
        <v>0</v>
      </c>
      <c r="G22" s="1008">
        <f t="shared" si="7"/>
        <v>0</v>
      </c>
      <c r="I22" s="1015"/>
      <c r="J22" s="1014">
        <f>SPC</f>
        <v>0</v>
      </c>
      <c r="K22" s="1014"/>
      <c r="L22" s="1008">
        <f t="shared" si="11"/>
        <v>0</v>
      </c>
      <c r="O22" s="1568"/>
      <c r="P22" s="1568"/>
      <c r="Q22" s="1568"/>
      <c r="R22" s="1568"/>
      <c r="S22" s="1568"/>
      <c r="T22" s="1568"/>
      <c r="U22" s="1568"/>
      <c r="V22" s="1568"/>
      <c r="W22" s="1568"/>
      <c r="X22" s="1568"/>
      <c r="Y22" s="1568"/>
      <c r="AB22" s="1038" t="s">
        <v>2624</v>
      </c>
      <c r="AC22" s="1043"/>
      <c r="AD22" s="1059" t="str">
        <f t="shared" si="9"/>
        <v/>
      </c>
      <c r="AE22" s="1056" t="str">
        <f t="shared" si="10"/>
        <v/>
      </c>
    </row>
    <row r="23" spans="1:31" x14ac:dyDescent="0.2">
      <c r="A23" s="933" t="s">
        <v>2617</v>
      </c>
      <c r="B23" s="933" t="s">
        <v>2618</v>
      </c>
      <c r="C23" s="933"/>
      <c r="E23" s="1015"/>
      <c r="F23" s="1014">
        <f>SMP+SPP</f>
        <v>0</v>
      </c>
      <c r="G23" s="1008">
        <f t="shared" si="7"/>
        <v>0</v>
      </c>
      <c r="I23" s="1015"/>
      <c r="J23" s="1014">
        <f>SMP+SPP</f>
        <v>0</v>
      </c>
      <c r="K23" s="1014"/>
      <c r="L23" s="1008">
        <f t="shared" si="11"/>
        <v>0</v>
      </c>
      <c r="O23" s="1568"/>
      <c r="P23" s="1568"/>
      <c r="Q23" s="1568"/>
      <c r="R23" s="1568"/>
      <c r="S23" s="1568"/>
      <c r="T23" s="1568"/>
      <c r="U23" s="1568"/>
      <c r="V23" s="1568"/>
      <c r="W23" s="1568"/>
      <c r="X23" s="1568"/>
      <c r="Y23" s="1568"/>
      <c r="AB23" s="1054" t="s">
        <v>2625</v>
      </c>
      <c r="AC23" s="1055"/>
      <c r="AD23" s="1046" t="str">
        <f t="shared" si="9"/>
        <v/>
      </c>
      <c r="AE23" s="1046" t="str">
        <f t="shared" si="10"/>
        <v/>
      </c>
    </row>
    <row r="24" spans="1:31" x14ac:dyDescent="0.2">
      <c r="A24" s="933" t="s">
        <v>2619</v>
      </c>
      <c r="B24" s="933" t="s">
        <v>2616</v>
      </c>
      <c r="C24" s="933"/>
      <c r="E24" s="1015"/>
      <c r="F24" s="1014">
        <f>SPC</f>
        <v>0</v>
      </c>
      <c r="G24" s="1008">
        <f t="shared" si="7"/>
        <v>0</v>
      </c>
      <c r="I24" s="1015"/>
      <c r="J24" s="1014">
        <f>SPC</f>
        <v>0</v>
      </c>
      <c r="K24" s="1014"/>
      <c r="L24" s="1008">
        <f t="shared" si="11"/>
        <v>0</v>
      </c>
      <c r="O24" s="1568"/>
      <c r="P24" s="1568"/>
      <c r="Q24" s="1568"/>
      <c r="R24" s="1568"/>
      <c r="S24" s="1568"/>
      <c r="T24" s="1568"/>
      <c r="U24" s="1568"/>
      <c r="V24" s="1568"/>
      <c r="W24" s="1568"/>
      <c r="X24" s="1568"/>
      <c r="Y24" s="1568"/>
      <c r="AB24" s="1038" t="s">
        <v>2627</v>
      </c>
      <c r="AC24" s="1043"/>
      <c r="AD24" s="1059" t="str">
        <f t="shared" si="9"/>
        <v/>
      </c>
      <c r="AE24" s="1056" t="str">
        <f t="shared" si="10"/>
        <v/>
      </c>
    </row>
    <row r="25" spans="1:31" x14ac:dyDescent="0.2">
      <c r="A25" s="933" t="s">
        <v>2620</v>
      </c>
      <c r="B25" s="933" t="s">
        <v>2621</v>
      </c>
      <c r="C25" s="933"/>
      <c r="E25" s="1015"/>
      <c r="F25" s="1014">
        <f>SMC</f>
        <v>0</v>
      </c>
      <c r="G25" s="1008">
        <f t="shared" si="7"/>
        <v>0</v>
      </c>
      <c r="I25" s="1015"/>
      <c r="J25" s="1014">
        <f>SMC</f>
        <v>0</v>
      </c>
      <c r="K25" s="1014"/>
      <c r="L25" s="1008">
        <f t="shared" si="11"/>
        <v>0</v>
      </c>
      <c r="AB25" s="1057" t="s">
        <v>2628</v>
      </c>
      <c r="AC25" s="1055"/>
      <c r="AD25" s="1046" t="str">
        <f t="shared" si="9"/>
        <v/>
      </c>
      <c r="AE25" s="1046" t="str">
        <f t="shared" si="10"/>
        <v/>
      </c>
    </row>
    <row r="26" spans="1:31" x14ac:dyDescent="0.2">
      <c r="A26" s="933" t="s">
        <v>2622</v>
      </c>
      <c r="B26" s="933" t="s">
        <v>2623</v>
      </c>
      <c r="C26" s="933"/>
      <c r="E26" s="1015"/>
      <c r="F26" s="1014">
        <f>SPP</f>
        <v>0</v>
      </c>
      <c r="G26" s="1008">
        <f t="shared" si="7"/>
        <v>0</v>
      </c>
      <c r="I26" s="1015"/>
      <c r="J26" s="1014">
        <f>SPP</f>
        <v>0</v>
      </c>
      <c r="K26" s="1014"/>
      <c r="L26" s="1008">
        <f t="shared" si="11"/>
        <v>0</v>
      </c>
      <c r="O26" s="1606" t="s">
        <v>2975</v>
      </c>
      <c r="P26" s="1568"/>
      <c r="Q26" s="1568"/>
      <c r="R26" s="1568"/>
      <c r="S26" s="1568"/>
      <c r="T26" s="1568"/>
      <c r="U26" s="1568"/>
      <c r="V26" s="1568"/>
      <c r="W26" s="1568"/>
      <c r="X26" s="1568"/>
      <c r="Y26" s="1568"/>
      <c r="AB26" s="1038" t="s">
        <v>2630</v>
      </c>
      <c r="AC26" s="1043"/>
      <c r="AD26" s="1059" t="str">
        <f t="shared" si="9"/>
        <v/>
      </c>
      <c r="AE26" s="1056" t="str">
        <f t="shared" si="10"/>
        <v/>
      </c>
    </row>
    <row r="27" spans="1:31" x14ac:dyDescent="0.2">
      <c r="A27" s="933" t="s">
        <v>2624</v>
      </c>
      <c r="B27" s="933" t="s">
        <v>2613</v>
      </c>
      <c r="C27" s="933"/>
      <c r="E27" s="1015"/>
      <c r="F27" s="1014">
        <f>SM</f>
        <v>0</v>
      </c>
      <c r="G27" s="1008">
        <f t="shared" si="7"/>
        <v>0</v>
      </c>
      <c r="I27" s="1015"/>
      <c r="J27" s="1014">
        <f>SM</f>
        <v>0</v>
      </c>
      <c r="K27" s="1014"/>
      <c r="L27" s="1008">
        <f t="shared" si="11"/>
        <v>0</v>
      </c>
      <c r="O27" s="1568"/>
      <c r="P27" s="1568"/>
      <c r="Q27" s="1568"/>
      <c r="R27" s="1568"/>
      <c r="S27" s="1568"/>
      <c r="T27" s="1568"/>
      <c r="U27" s="1568"/>
      <c r="V27" s="1568"/>
      <c r="W27" s="1568"/>
      <c r="X27" s="1568"/>
      <c r="Y27" s="1568"/>
      <c r="AB27" s="1054" t="s">
        <v>2632</v>
      </c>
      <c r="AC27" s="1055"/>
      <c r="AD27" s="1046" t="str">
        <f t="shared" si="9"/>
        <v/>
      </c>
      <c r="AE27" s="1046" t="str">
        <f t="shared" si="10"/>
        <v/>
      </c>
    </row>
    <row r="28" spans="1:31" x14ac:dyDescent="0.2">
      <c r="A28" s="933" t="s">
        <v>2625</v>
      </c>
      <c r="B28" s="933" t="s">
        <v>2626</v>
      </c>
      <c r="C28" s="933"/>
      <c r="E28" s="1015"/>
      <c r="F28" s="1014">
        <f>SPP</f>
        <v>0</v>
      </c>
      <c r="G28" s="1008">
        <f t="shared" si="7"/>
        <v>0</v>
      </c>
      <c r="I28" s="1015"/>
      <c r="J28" s="1014">
        <f>SPP</f>
        <v>0</v>
      </c>
      <c r="K28" s="1014"/>
      <c r="L28" s="1008">
        <f t="shared" si="11"/>
        <v>0</v>
      </c>
      <c r="O28" s="1568"/>
      <c r="P28" s="1568"/>
      <c r="Q28" s="1568"/>
      <c r="R28" s="1568"/>
      <c r="S28" s="1568"/>
      <c r="T28" s="1568"/>
      <c r="U28" s="1568"/>
      <c r="V28" s="1568"/>
      <c r="W28" s="1568"/>
      <c r="X28" s="1568"/>
      <c r="Y28" s="1568"/>
      <c r="AB28" s="1038" t="s">
        <v>2633</v>
      </c>
      <c r="AC28" s="1043"/>
      <c r="AD28" s="1059" t="str">
        <f t="shared" si="9"/>
        <v/>
      </c>
      <c r="AE28" s="1056" t="str">
        <f t="shared" si="10"/>
        <v/>
      </c>
    </row>
    <row r="29" spans="1:31" x14ac:dyDescent="0.2">
      <c r="A29" s="933" t="s">
        <v>2627</v>
      </c>
      <c r="B29" s="933" t="s">
        <v>2621</v>
      </c>
      <c r="C29" s="933"/>
      <c r="E29" s="1015"/>
      <c r="F29" s="1014">
        <f>SMC</f>
        <v>0</v>
      </c>
      <c r="G29" s="1008">
        <f t="shared" si="7"/>
        <v>0</v>
      </c>
      <c r="I29" s="1015"/>
      <c r="J29" s="1014">
        <f>SMC</f>
        <v>0</v>
      </c>
      <c r="K29" s="1014"/>
      <c r="L29" s="1008">
        <f t="shared" si="11"/>
        <v>0</v>
      </c>
      <c r="AB29" s="1054" t="s">
        <v>2634</v>
      </c>
      <c r="AC29" s="1055"/>
      <c r="AD29" s="1046" t="str">
        <f t="shared" si="9"/>
        <v/>
      </c>
      <c r="AE29" s="1046" t="str">
        <f t="shared" si="10"/>
        <v/>
      </c>
    </row>
    <row r="30" spans="1:31" x14ac:dyDescent="0.2">
      <c r="A30" s="934" t="s">
        <v>2628</v>
      </c>
      <c r="B30" s="933" t="s">
        <v>2629</v>
      </c>
      <c r="C30" s="933" t="s">
        <v>2600</v>
      </c>
      <c r="E30" s="1015"/>
      <c r="F30" s="1014">
        <f>SMP</f>
        <v>0</v>
      </c>
      <c r="G30" s="1008">
        <f t="shared" si="7"/>
        <v>0</v>
      </c>
      <c r="I30" s="1015"/>
      <c r="J30" s="1014">
        <f>SMP</f>
        <v>0</v>
      </c>
      <c r="K30" s="1014"/>
      <c r="L30" s="1008">
        <f t="shared" si="11"/>
        <v>0</v>
      </c>
      <c r="O30" s="1606" t="s">
        <v>2976</v>
      </c>
      <c r="P30" s="1568"/>
      <c r="Q30" s="1568"/>
      <c r="R30" s="1568"/>
      <c r="S30" s="1568"/>
      <c r="T30" s="1568"/>
      <c r="U30" s="1568"/>
      <c r="V30" s="1568"/>
      <c r="W30" s="1568"/>
      <c r="X30" s="1568"/>
      <c r="Y30" s="1568"/>
      <c r="AB30" s="1039" t="s">
        <v>2635</v>
      </c>
      <c r="AC30" s="1043"/>
      <c r="AD30" s="1059" t="str">
        <f t="shared" si="9"/>
        <v/>
      </c>
      <c r="AE30" s="1056" t="str">
        <f t="shared" si="10"/>
        <v/>
      </c>
    </row>
    <row r="31" spans="1:31" x14ac:dyDescent="0.2">
      <c r="A31" s="933" t="s">
        <v>2630</v>
      </c>
      <c r="B31" s="933" t="s">
        <v>2631</v>
      </c>
      <c r="C31" s="933"/>
      <c r="E31" s="1015"/>
      <c r="F31" s="1014">
        <f>SP</f>
        <v>0</v>
      </c>
      <c r="G31" s="1008">
        <f t="shared" si="7"/>
        <v>0</v>
      </c>
      <c r="I31" s="1015"/>
      <c r="J31" s="1014">
        <f>SP</f>
        <v>0</v>
      </c>
      <c r="K31" s="1014"/>
      <c r="L31" s="1008">
        <f t="shared" si="11"/>
        <v>0</v>
      </c>
      <c r="O31" s="1568"/>
      <c r="P31" s="1568"/>
      <c r="Q31" s="1568"/>
      <c r="R31" s="1568"/>
      <c r="S31" s="1568"/>
      <c r="T31" s="1568"/>
      <c r="U31" s="1568"/>
      <c r="V31" s="1568"/>
      <c r="W31" s="1568"/>
      <c r="X31" s="1568"/>
      <c r="Y31" s="1568"/>
      <c r="AB31" s="1054" t="s">
        <v>2637</v>
      </c>
      <c r="AC31" s="1055"/>
      <c r="AD31" s="1046" t="str">
        <f t="shared" si="9"/>
        <v/>
      </c>
      <c r="AE31" s="1046" t="str">
        <f t="shared" si="10"/>
        <v/>
      </c>
    </row>
    <row r="32" spans="1:31" x14ac:dyDescent="0.2">
      <c r="A32" s="933" t="s">
        <v>2632</v>
      </c>
      <c r="B32" s="933" t="s">
        <v>2629</v>
      </c>
      <c r="C32" s="933"/>
      <c r="E32" s="1015"/>
      <c r="F32" s="1014">
        <f>SMC</f>
        <v>0</v>
      </c>
      <c r="G32" s="1008">
        <f t="shared" si="7"/>
        <v>0</v>
      </c>
      <c r="I32" s="1015"/>
      <c r="J32" s="1014">
        <f>SMC</f>
        <v>0</v>
      </c>
      <c r="K32" s="1014"/>
      <c r="L32" s="1008">
        <f t="shared" si="11"/>
        <v>0</v>
      </c>
      <c r="O32" s="1568"/>
      <c r="P32" s="1568"/>
      <c r="Q32" s="1568"/>
      <c r="R32" s="1568"/>
      <c r="S32" s="1568"/>
      <c r="T32" s="1568"/>
      <c r="U32" s="1568"/>
      <c r="V32" s="1568"/>
      <c r="W32" s="1568"/>
      <c r="X32" s="1568"/>
      <c r="Y32" s="1568"/>
      <c r="AB32" s="1038" t="s">
        <v>111</v>
      </c>
      <c r="AC32" s="1043"/>
      <c r="AD32" s="1059" t="str">
        <f t="shared" si="9"/>
        <v/>
      </c>
      <c r="AE32" s="1056" t="str">
        <f t="shared" si="10"/>
        <v/>
      </c>
    </row>
    <row r="33" spans="1:31" x14ac:dyDescent="0.2">
      <c r="A33" s="933" t="s">
        <v>2633</v>
      </c>
      <c r="B33" s="933" t="s">
        <v>115</v>
      </c>
      <c r="C33" s="933"/>
      <c r="E33" s="1015"/>
      <c r="F33" s="1014"/>
      <c r="G33" s="1008">
        <f t="shared" si="7"/>
        <v>0</v>
      </c>
      <c r="I33" s="1015"/>
      <c r="J33" s="1014"/>
      <c r="K33" s="1014"/>
      <c r="L33" s="1008">
        <f t="shared" si="11"/>
        <v>0</v>
      </c>
      <c r="O33" s="1568"/>
      <c r="P33" s="1568"/>
      <c r="Q33" s="1568"/>
      <c r="R33" s="1568"/>
      <c r="S33" s="1568"/>
      <c r="T33" s="1568"/>
      <c r="U33" s="1568"/>
      <c r="V33" s="1568"/>
      <c r="W33" s="1568"/>
      <c r="X33" s="1568"/>
      <c r="Y33" s="1568"/>
      <c r="AB33" s="1054" t="s">
        <v>2639</v>
      </c>
      <c r="AC33" s="1055"/>
      <c r="AD33" s="1046" t="str">
        <f t="shared" si="9"/>
        <v/>
      </c>
      <c r="AE33" s="1046" t="str">
        <f t="shared" si="10"/>
        <v/>
      </c>
    </row>
    <row r="34" spans="1:31" x14ac:dyDescent="0.2">
      <c r="A34" s="933" t="s">
        <v>2634</v>
      </c>
      <c r="B34" s="933" t="s">
        <v>115</v>
      </c>
      <c r="C34" s="933"/>
      <c r="E34" s="1015"/>
      <c r="F34" s="1014"/>
      <c r="G34" s="1008">
        <f t="shared" si="7"/>
        <v>0</v>
      </c>
      <c r="I34" s="1015"/>
      <c r="J34" s="1014"/>
      <c r="K34" s="1014"/>
      <c r="L34" s="1008">
        <f t="shared" si="11"/>
        <v>0</v>
      </c>
      <c r="O34" s="1568"/>
      <c r="P34" s="1568"/>
      <c r="Q34" s="1568"/>
      <c r="R34" s="1568"/>
      <c r="S34" s="1568"/>
      <c r="T34" s="1568"/>
      <c r="U34" s="1568"/>
      <c r="V34" s="1568"/>
      <c r="W34" s="1568"/>
      <c r="X34" s="1568"/>
      <c r="Y34" s="1568"/>
      <c r="AB34" s="1038" t="s">
        <v>2642</v>
      </c>
      <c r="AC34" s="1043"/>
      <c r="AD34" s="1059" t="str">
        <f t="shared" si="9"/>
        <v/>
      </c>
      <c r="AE34" s="1056" t="str">
        <f t="shared" si="10"/>
        <v/>
      </c>
    </row>
    <row r="35" spans="1:31" ht="12.75" x14ac:dyDescent="0.2">
      <c r="A35" s="934" t="s">
        <v>2635</v>
      </c>
      <c r="B35" s="933" t="s">
        <v>2636</v>
      </c>
      <c r="C35" s="933" t="s">
        <v>2600</v>
      </c>
      <c r="E35" s="1015"/>
      <c r="F35" s="1014">
        <f>SMS+SPS</f>
        <v>0</v>
      </c>
      <c r="G35" s="1008">
        <f t="shared" si="7"/>
        <v>0</v>
      </c>
      <c r="I35" s="1015"/>
      <c r="J35" s="1014">
        <f>SMS+SPS</f>
        <v>0</v>
      </c>
      <c r="K35" s="1014"/>
      <c r="L35" s="1008">
        <f t="shared" si="11"/>
        <v>0</v>
      </c>
      <c r="O35" s="338"/>
      <c r="P35" s="338"/>
      <c r="Q35" s="338"/>
      <c r="R35" s="338"/>
      <c r="S35" s="338"/>
      <c r="T35" s="338"/>
      <c r="U35" s="338"/>
      <c r="V35" s="338"/>
      <c r="W35" s="338"/>
      <c r="X35" s="338"/>
      <c r="Y35" s="338"/>
      <c r="AB35" s="1054" t="s">
        <v>2645</v>
      </c>
      <c r="AC35" s="1055"/>
      <c r="AD35" s="1059" t="str">
        <f t="shared" si="9"/>
        <v/>
      </c>
      <c r="AE35" s="1056" t="str">
        <f t="shared" si="10"/>
        <v/>
      </c>
    </row>
    <row r="36" spans="1:31" x14ac:dyDescent="0.2">
      <c r="A36" s="933" t="s">
        <v>2637</v>
      </c>
      <c r="B36" s="933" t="s">
        <v>2613</v>
      </c>
      <c r="C36" s="933" t="s">
        <v>2638</v>
      </c>
      <c r="E36" s="1015"/>
      <c r="F36" s="1014">
        <f>SM</f>
        <v>0</v>
      </c>
      <c r="G36" s="1008">
        <f t="shared" si="7"/>
        <v>0</v>
      </c>
      <c r="I36" s="1015"/>
      <c r="J36" s="1014">
        <f>S</f>
        <v>0</v>
      </c>
      <c r="K36" s="1014">
        <f>I36</f>
        <v>0</v>
      </c>
      <c r="L36" s="1008">
        <f>I36+J36+K36</f>
        <v>0</v>
      </c>
      <c r="O36" s="1606" t="s">
        <v>2977</v>
      </c>
      <c r="P36" s="1568"/>
      <c r="Q36" s="1568"/>
      <c r="R36" s="1568"/>
      <c r="S36" s="1568"/>
      <c r="T36" s="1568"/>
      <c r="U36" s="1568"/>
      <c r="V36" s="1568"/>
      <c r="W36" s="1568"/>
      <c r="X36" s="1568"/>
      <c r="Y36" s="1568"/>
      <c r="AD36" s="931">
        <f>SUM(AD4:AD35)</f>
        <v>0</v>
      </c>
      <c r="AE36" s="931">
        <f>SUM(AE4:AE35)</f>
        <v>0</v>
      </c>
    </row>
    <row r="37" spans="1:31" x14ac:dyDescent="0.2">
      <c r="A37" s="933" t="s">
        <v>111</v>
      </c>
      <c r="B37" s="933" t="s">
        <v>2629</v>
      </c>
      <c r="C37" s="1005" t="s">
        <v>2638</v>
      </c>
      <c r="E37" s="1016"/>
      <c r="F37" s="1217">
        <f>SMP</f>
        <v>0</v>
      </c>
      <c r="G37" s="1008">
        <f t="shared" si="7"/>
        <v>0</v>
      </c>
      <c r="I37" s="1015"/>
      <c r="J37" s="1014">
        <f>SMP</f>
        <v>0</v>
      </c>
      <c r="K37" s="1014">
        <v>10</v>
      </c>
      <c r="L37" s="1008">
        <f>I37+J37*K37</f>
        <v>0</v>
      </c>
      <c r="O37" s="1568"/>
      <c r="P37" s="1568"/>
      <c r="Q37" s="1568"/>
      <c r="R37" s="1568"/>
      <c r="S37" s="1568"/>
      <c r="T37" s="1568"/>
      <c r="U37" s="1568"/>
      <c r="V37" s="1568"/>
      <c r="W37" s="1568"/>
      <c r="X37" s="1568"/>
      <c r="Y37" s="1568"/>
    </row>
    <row r="38" spans="1:31" x14ac:dyDescent="0.2">
      <c r="A38" s="933" t="s">
        <v>2639</v>
      </c>
      <c r="B38" s="933" t="s">
        <v>2640</v>
      </c>
      <c r="C38" s="1013" t="s">
        <v>2641</v>
      </c>
      <c r="E38" s="1017"/>
      <c r="F38" s="1014">
        <f>SMP+SMS</f>
        <v>0</v>
      </c>
      <c r="G38" s="1008">
        <f t="shared" si="7"/>
        <v>0</v>
      </c>
      <c r="I38" s="1015"/>
      <c r="J38" s="1014">
        <f>SMP+SMS</f>
        <v>0</v>
      </c>
      <c r="K38" s="1014"/>
      <c r="L38" s="1008">
        <f t="shared" ref="L38:L39" si="12">I38+J38</f>
        <v>0</v>
      </c>
    </row>
    <row r="39" spans="1:31" x14ac:dyDescent="0.2">
      <c r="A39" s="933" t="s">
        <v>2642</v>
      </c>
      <c r="B39" s="933" t="s">
        <v>2643</v>
      </c>
      <c r="C39" s="1012" t="s">
        <v>2644</v>
      </c>
      <c r="E39" s="1018"/>
      <c r="F39" s="1014">
        <f>SPS</f>
        <v>0</v>
      </c>
      <c r="G39" s="1008">
        <f t="shared" si="7"/>
        <v>0</v>
      </c>
      <c r="I39" s="1015"/>
      <c r="J39" s="1014">
        <f>SPS</f>
        <v>0</v>
      </c>
      <c r="K39" s="1014"/>
      <c r="L39" s="1008">
        <f t="shared" si="12"/>
        <v>0</v>
      </c>
      <c r="O39" s="1606" t="s">
        <v>2978</v>
      </c>
      <c r="P39" s="1568"/>
      <c r="Q39" s="1568"/>
      <c r="R39" s="1568"/>
      <c r="S39" s="1568"/>
      <c r="T39" s="1568"/>
      <c r="U39" s="1568"/>
      <c r="V39" s="1568"/>
      <c r="W39" s="1568"/>
      <c r="X39" s="1568"/>
      <c r="Y39" s="1568"/>
    </row>
    <row r="40" spans="1:31" x14ac:dyDescent="0.2">
      <c r="A40" s="933" t="s">
        <v>2645</v>
      </c>
      <c r="B40" s="933" t="s">
        <v>2646</v>
      </c>
      <c r="C40" s="933" t="s">
        <v>2647</v>
      </c>
      <c r="E40" s="1015"/>
      <c r="F40" s="1014"/>
      <c r="G40" s="1008">
        <f>E40*2</f>
        <v>0</v>
      </c>
      <c r="I40" s="1015"/>
      <c r="J40" s="1014"/>
      <c r="K40" s="1014">
        <v>2</v>
      </c>
      <c r="L40" s="1008">
        <f>I40*K40</f>
        <v>0</v>
      </c>
      <c r="O40" s="1568"/>
      <c r="P40" s="1568"/>
      <c r="Q40" s="1568"/>
      <c r="R40" s="1568"/>
      <c r="S40" s="1568"/>
      <c r="T40" s="1568"/>
      <c r="U40" s="1568"/>
      <c r="V40" s="1568"/>
      <c r="W40" s="1568"/>
      <c r="X40" s="1568"/>
      <c r="Y40" s="1568"/>
    </row>
    <row r="41" spans="1:31" ht="18" customHeight="1" thickBot="1" x14ac:dyDescent="0.25">
      <c r="C41" s="1003"/>
      <c r="D41" s="1003"/>
      <c r="E41" s="1003"/>
      <c r="F41" s="1011" t="s">
        <v>2981</v>
      </c>
      <c r="G41" s="1023">
        <f>SUM(G5:G40)</f>
        <v>0</v>
      </c>
      <c r="I41" s="1003"/>
      <c r="J41" s="1004"/>
      <c r="K41" s="1011" t="s">
        <v>2982</v>
      </c>
      <c r="L41" s="1023">
        <f>SUM(L5:L40)</f>
        <v>0</v>
      </c>
      <c r="O41" s="1568"/>
      <c r="P41" s="1568"/>
      <c r="Q41" s="1568"/>
      <c r="R41" s="1568"/>
      <c r="S41" s="1568"/>
      <c r="T41" s="1568"/>
      <c r="U41" s="1568"/>
      <c r="V41" s="1568"/>
      <c r="W41" s="1568"/>
      <c r="X41" s="1568"/>
      <c r="Y41" s="1568"/>
    </row>
    <row r="42" spans="1:31" x14ac:dyDescent="0.2">
      <c r="O42" s="1503"/>
      <c r="P42" s="1503"/>
      <c r="Q42" s="1503"/>
      <c r="R42" s="1503"/>
      <c r="S42" s="1503"/>
      <c r="T42" s="1503"/>
      <c r="U42" s="1503"/>
      <c r="V42" s="1503"/>
      <c r="W42" s="1503"/>
      <c r="X42" s="1503"/>
      <c r="Y42" s="1503"/>
    </row>
    <row r="43" spans="1:31" ht="12.75" thickBot="1" x14ac:dyDescent="0.25">
      <c r="K43" s="1002"/>
      <c r="L43" s="1002"/>
    </row>
    <row r="44" spans="1:31" x14ac:dyDescent="0.2">
      <c r="J44" s="1024"/>
      <c r="K44" s="1025" t="s">
        <v>203</v>
      </c>
      <c r="L44" s="1026">
        <f>IF(G41&gt;0,G41,L41)</f>
        <v>0</v>
      </c>
    </row>
    <row r="45" spans="1:31" ht="12.75" thickBot="1" x14ac:dyDescent="0.25">
      <c r="J45" s="1027"/>
      <c r="K45" s="1028"/>
      <c r="L45" s="1029" t="s">
        <v>3025</v>
      </c>
    </row>
    <row r="46" spans="1:31" x14ac:dyDescent="0.2">
      <c r="K46" s="1002"/>
      <c r="L46" s="1002"/>
    </row>
    <row r="47" spans="1:31" x14ac:dyDescent="0.2">
      <c r="K47" s="1002"/>
      <c r="L47" s="1002"/>
    </row>
    <row r="48" spans="1:31" x14ac:dyDescent="0.2">
      <c r="A48" s="1002"/>
      <c r="B48" s="1002"/>
      <c r="C48" s="1002"/>
      <c r="D48" s="1002"/>
      <c r="E48" s="1002"/>
      <c r="F48" s="1002"/>
      <c r="G48" s="1002"/>
      <c r="H48" s="1002"/>
      <c r="I48" s="1002"/>
      <c r="J48" s="1002"/>
      <c r="K48" s="1002"/>
      <c r="L48" s="1002"/>
    </row>
  </sheetData>
  <mergeCells count="8">
    <mergeCell ref="O36:Y37"/>
    <mergeCell ref="O30:Y34"/>
    <mergeCell ref="O39:Y42"/>
    <mergeCell ref="O4:Y5"/>
    <mergeCell ref="O7:Y8"/>
    <mergeCell ref="O10:Y16"/>
    <mergeCell ref="O18:Y24"/>
    <mergeCell ref="O26:Y28"/>
  </mergeCells>
  <pageMargins left="0.5" right="0.25" top="0.5" bottom="0.5" header="0.5" footer="0.5"/>
  <pageSetup orientation="portrait" horizontalDpi="4294967292"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E422-B2AA-4DE4-A3A4-D8FA46CD4C1B}">
  <sheetPr>
    <tabColor rgb="FF00EE6C"/>
  </sheetPr>
  <dimension ref="B2:AF164"/>
  <sheetViews>
    <sheetView topLeftCell="J1" zoomScale="85" zoomScaleNormal="85" workbookViewId="0">
      <selection activeCell="L6" sqref="L6:T11"/>
    </sheetView>
  </sheetViews>
  <sheetFormatPr defaultRowHeight="12.75" x14ac:dyDescent="0.2"/>
  <cols>
    <col min="1" max="1" width="1" style="245" customWidth="1"/>
    <col min="2" max="2" width="22" style="245" customWidth="1"/>
    <col min="3" max="3" width="8.75" style="245" customWidth="1"/>
    <col min="4" max="8" width="9" style="245"/>
    <col min="9" max="10" width="3" style="245" customWidth="1"/>
    <col min="11" max="11" width="22" style="1332" bestFit="1" customWidth="1"/>
    <col min="12" max="20" width="8.875" style="245" customWidth="1"/>
    <col min="21" max="16384" width="9" style="245"/>
  </cols>
  <sheetData>
    <row r="2" spans="2:27" ht="15.75" x14ac:dyDescent="0.25">
      <c r="B2" s="958" t="s">
        <v>3348</v>
      </c>
    </row>
    <row r="3" spans="2:27" x14ac:dyDescent="0.2">
      <c r="B3" s="1215" t="s">
        <v>3010</v>
      </c>
    </row>
    <row r="4" spans="2:27" x14ac:dyDescent="0.2">
      <c r="B4" s="245" t="s">
        <v>3363</v>
      </c>
    </row>
    <row r="5" spans="2:27" x14ac:dyDescent="0.2">
      <c r="B5" s="245" t="s">
        <v>3361</v>
      </c>
      <c r="K5" s="1343" t="s">
        <v>6</v>
      </c>
      <c r="L5" s="213">
        <v>1</v>
      </c>
      <c r="M5" s="213">
        <v>2</v>
      </c>
      <c r="N5" s="213">
        <v>3</v>
      </c>
      <c r="O5" s="213">
        <v>4</v>
      </c>
      <c r="P5" s="213">
        <v>5</v>
      </c>
      <c r="Q5" s="213">
        <v>6</v>
      </c>
      <c r="R5" s="213">
        <v>7</v>
      </c>
      <c r="S5" s="213">
        <v>8</v>
      </c>
      <c r="T5" s="213">
        <v>9</v>
      </c>
    </row>
    <row r="6" spans="2:27" x14ac:dyDescent="0.2">
      <c r="B6" s="245" t="s">
        <v>3362</v>
      </c>
      <c r="K6" s="1332" t="s">
        <v>7</v>
      </c>
      <c r="L6" s="1356">
        <f ca="1">(RANDBETWEEN(3,9)+5)*10</f>
        <v>110</v>
      </c>
      <c r="M6" s="1357">
        <f ca="1">(RANDBETWEEN(5,25)+3)*20</f>
        <v>340</v>
      </c>
      <c r="N6" s="1355">
        <f ca="1">(RANDBETWEEN(3,9)+5)*50</f>
        <v>450</v>
      </c>
      <c r="O6" s="1353">
        <f ca="1">RANDBETWEEN(5,50)*50</f>
        <v>1550</v>
      </c>
      <c r="P6" s="1354">
        <f ca="1">(RANDBETWEEN(5,25)+5)*500</f>
        <v>11500</v>
      </c>
      <c r="Q6" s="1352">
        <f ca="1">RANDBETWEEN(10,100)*1000</f>
        <v>35000</v>
      </c>
      <c r="R6" s="1351">
        <f ca="1">RANDBETWEEN(1,20)*10000</f>
        <v>160000</v>
      </c>
      <c r="S6" s="1350">
        <f ca="1">RANDBETWEEN(3,60)*10000</f>
        <v>420000</v>
      </c>
      <c r="T6" s="1349">
        <f ca="1">RANDBETWEEN(5,100)*20000</f>
        <v>320000</v>
      </c>
    </row>
    <row r="7" spans="2:27" x14ac:dyDescent="0.2">
      <c r="B7" s="245" t="s">
        <v>3359</v>
      </c>
      <c r="K7" s="1332" t="s">
        <v>3349</v>
      </c>
      <c r="L7" s="1356">
        <v>0</v>
      </c>
      <c r="M7" s="1357">
        <v>0</v>
      </c>
      <c r="N7" s="1355">
        <v>0</v>
      </c>
      <c r="O7" s="1353">
        <v>0</v>
      </c>
      <c r="P7" s="1354">
        <f ca="1">RANDBETWEEN(1,3)*1000</f>
        <v>1000</v>
      </c>
      <c r="Q7" s="1352">
        <f ca="1">RANDBETWEEN(3,9)*2000</f>
        <v>18000</v>
      </c>
      <c r="R7" s="1351">
        <f ca="1">RANDBETWEEN(1,20)*1000</f>
        <v>10000</v>
      </c>
      <c r="S7" s="1350">
        <f ca="1">RANDBETWEEN(3,60)*1000</f>
        <v>7000</v>
      </c>
      <c r="T7" s="1349">
        <f ca="1">RANDBETWEEN(5,50)*2000</f>
        <v>92000</v>
      </c>
    </row>
    <row r="8" spans="2:27" x14ac:dyDescent="0.2">
      <c r="K8" s="1332" t="s">
        <v>3350</v>
      </c>
      <c r="L8" s="1356">
        <v>0</v>
      </c>
      <c r="M8" s="1357">
        <v>0</v>
      </c>
      <c r="N8" s="1355">
        <v>0</v>
      </c>
      <c r="O8" s="1353">
        <v>0</v>
      </c>
      <c r="P8" s="1354">
        <f ca="1">RANDBETWEEN(3,9)*10</f>
        <v>70</v>
      </c>
      <c r="Q8" s="1352">
        <f ca="1">RANDBETWEEN(3,18)*50</f>
        <v>800</v>
      </c>
      <c r="R8" s="1351">
        <f ca="1">RANDBETWEEN(1,20)*100</f>
        <v>1500</v>
      </c>
      <c r="S8" s="1350">
        <f ca="1">RANDBETWEEN(2,40)*100</f>
        <v>1600</v>
      </c>
      <c r="T8" s="1349">
        <f ca="1">RANDBETWEEN(5,50)*200</f>
        <v>9200</v>
      </c>
    </row>
    <row r="9" spans="2:27" ht="13.5" thickBot="1" x14ac:dyDescent="0.25">
      <c r="K9" s="1332" t="s">
        <v>3351</v>
      </c>
      <c r="L9" s="1356">
        <f ca="1">RANDBETWEEN(5,50)+10</f>
        <v>25</v>
      </c>
      <c r="M9" s="1357">
        <f ca="1">RANDBETWEEN(3,15)*20</f>
        <v>300</v>
      </c>
      <c r="N9" s="1355">
        <f ca="1">RANDBETWEEN(5,15)*50</f>
        <v>400</v>
      </c>
      <c r="O9" s="1353">
        <f ca="1">RANDBETWEEN(5,30)*20</f>
        <v>280</v>
      </c>
      <c r="P9" s="1354">
        <f ca="1">RANDBETWEEN(5,30)*50</f>
        <v>1250</v>
      </c>
      <c r="Q9" s="1352">
        <f ca="1">RANDBETWEEN(5,50)*100</f>
        <v>2700</v>
      </c>
      <c r="R9" s="1351">
        <f ca="1">RANDBETWEEN(1,20)*500</f>
        <v>10000</v>
      </c>
      <c r="S9" s="1350">
        <f ca="1">RANDBETWEEN(3,30)*1000</f>
        <v>27000</v>
      </c>
      <c r="T9" s="1349">
        <f ca="1">RANDBETWEEN(5,50)*1000</f>
        <v>46000</v>
      </c>
    </row>
    <row r="10" spans="2:27" ht="13.5" thickBot="1" x14ac:dyDescent="0.25">
      <c r="B10" s="1340" t="s">
        <v>3360</v>
      </c>
      <c r="C10" s="1333">
        <v>7</v>
      </c>
      <c r="K10" s="1332" t="s">
        <v>3353</v>
      </c>
      <c r="L10" s="1356" t="s">
        <v>3354</v>
      </c>
      <c r="M10" s="1357" t="s">
        <v>3354</v>
      </c>
      <c r="N10" s="1355" t="s">
        <v>3354</v>
      </c>
      <c r="O10" s="1353" t="s">
        <v>3354</v>
      </c>
      <c r="P10" s="1354">
        <f ca="1">RANDBETWEEN(4,12)*1000</f>
        <v>4000</v>
      </c>
      <c r="Q10" s="1352">
        <f ca="1">RANDBETWEEN(6,30)*1000</f>
        <v>29000</v>
      </c>
      <c r="R10" s="1351">
        <f t="shared" ref="R10:T10" ca="1" si="0">RANDBETWEEN(6,30)*1000</f>
        <v>6000</v>
      </c>
      <c r="S10" s="1350">
        <f t="shared" ca="1" si="0"/>
        <v>15000</v>
      </c>
      <c r="T10" s="1349">
        <f t="shared" ca="1" si="0"/>
        <v>8000</v>
      </c>
    </row>
    <row r="11" spans="2:27" x14ac:dyDescent="0.2">
      <c r="B11" s="215" t="s">
        <v>3367</v>
      </c>
      <c r="K11" s="1332" t="s">
        <v>3355</v>
      </c>
      <c r="L11" s="1356" t="s">
        <v>1920</v>
      </c>
      <c r="M11" s="1357" t="s">
        <v>1920</v>
      </c>
      <c r="N11" s="1355" t="s">
        <v>1920</v>
      </c>
      <c r="O11" s="1353" t="s">
        <v>1920</v>
      </c>
      <c r="P11" s="1354">
        <f ca="1">120+INT(P10/1000)</f>
        <v>124</v>
      </c>
      <c r="Q11" s="1352">
        <f t="shared" ref="Q11:T11" ca="1" si="1">120+INT(Q10/1000)</f>
        <v>149</v>
      </c>
      <c r="R11" s="1351">
        <f t="shared" ca="1" si="1"/>
        <v>126</v>
      </c>
      <c r="S11" s="1350">
        <f t="shared" ca="1" si="1"/>
        <v>135</v>
      </c>
      <c r="T11" s="1349">
        <f t="shared" ca="1" si="1"/>
        <v>128</v>
      </c>
    </row>
    <row r="12" spans="2:27" ht="13.5" thickBot="1" x14ac:dyDescent="0.25">
      <c r="B12" s="215" t="s">
        <v>3352</v>
      </c>
    </row>
    <row r="13" spans="2:27" x14ac:dyDescent="0.2">
      <c r="B13" s="1334" t="s">
        <v>7</v>
      </c>
      <c r="C13" s="1335">
        <v>130000</v>
      </c>
    </row>
    <row r="14" spans="2:27" x14ac:dyDescent="0.2">
      <c r="B14" s="1336" t="s">
        <v>3349</v>
      </c>
      <c r="C14" s="1337">
        <v>11000</v>
      </c>
    </row>
    <row r="15" spans="2:27" ht="15" x14ac:dyDescent="0.25">
      <c r="B15" s="1336" t="s">
        <v>3350</v>
      </c>
      <c r="C15" s="1337">
        <v>1400</v>
      </c>
      <c r="K15" s="1346" t="s">
        <v>3565</v>
      </c>
      <c r="U15" s="314" t="s">
        <v>3766</v>
      </c>
      <c r="AA15" s="314" t="s">
        <v>3771</v>
      </c>
    </row>
    <row r="16" spans="2:27" ht="15.75" thickBot="1" x14ac:dyDescent="0.3">
      <c r="B16" s="1336" t="s">
        <v>3351</v>
      </c>
      <c r="C16" s="1337">
        <v>10000</v>
      </c>
      <c r="K16" s="1345"/>
      <c r="L16" s="315"/>
      <c r="M16" s="315"/>
      <c r="N16" s="315"/>
      <c r="O16" s="315"/>
      <c r="P16" s="315"/>
      <c r="Q16" s="315"/>
      <c r="R16" s="315"/>
      <c r="S16" s="315"/>
    </row>
    <row r="17" spans="2:31" ht="15" x14ac:dyDescent="0.25">
      <c r="B17" s="1336" t="s">
        <v>3353</v>
      </c>
      <c r="C17" s="1337">
        <v>29000</v>
      </c>
      <c r="F17" s="1332"/>
      <c r="K17" s="1375" t="s">
        <v>3391</v>
      </c>
      <c r="L17" s="1376"/>
      <c r="M17" s="1377"/>
      <c r="N17" s="1377"/>
      <c r="O17" s="1378" t="s">
        <v>3358</v>
      </c>
      <c r="P17" s="1378"/>
      <c r="Q17" s="1378"/>
      <c r="R17" s="1377"/>
      <c r="S17" s="1379"/>
      <c r="U17" s="1394" t="s">
        <v>3767</v>
      </c>
      <c r="V17" s="1347"/>
      <c r="W17" s="1347"/>
      <c r="X17" s="1347"/>
      <c r="Y17" s="1348"/>
      <c r="AA17" s="1612" t="s">
        <v>3564</v>
      </c>
      <c r="AB17" s="1613"/>
      <c r="AC17" s="1613"/>
      <c r="AD17" s="1618"/>
      <c r="AE17" s="1619"/>
    </row>
    <row r="18" spans="2:31" ht="15.75" thickBot="1" x14ac:dyDescent="0.3">
      <c r="B18" s="1338" t="s">
        <v>3355</v>
      </c>
      <c r="C18" s="1339">
        <v>149</v>
      </c>
      <c r="K18" s="1380" t="s">
        <v>2133</v>
      </c>
      <c r="L18" s="1639" t="s">
        <v>1992</v>
      </c>
      <c r="M18" s="1640"/>
      <c r="N18" s="1383"/>
      <c r="O18" s="1655" t="s">
        <v>2133</v>
      </c>
      <c r="P18" s="1656"/>
      <c r="Q18" s="1656"/>
      <c r="R18" s="1639" t="s">
        <v>1992</v>
      </c>
      <c r="S18" s="1657"/>
      <c r="U18" s="1395" t="s">
        <v>2133</v>
      </c>
      <c r="V18" s="1396"/>
      <c r="W18" s="1396"/>
      <c r="X18" s="1653" t="s">
        <v>1992</v>
      </c>
      <c r="Y18" s="1654"/>
      <c r="AA18" s="1641" t="s">
        <v>2133</v>
      </c>
      <c r="AB18" s="1642"/>
      <c r="AC18" s="1642"/>
      <c r="AD18" s="1608" t="s">
        <v>1992</v>
      </c>
      <c r="AE18" s="1609"/>
    </row>
    <row r="19" spans="2:31" ht="15" x14ac:dyDescent="0.25">
      <c r="K19" s="1380" t="s">
        <v>3375</v>
      </c>
      <c r="L19" s="1639">
        <v>10</v>
      </c>
      <c r="M19" s="1640"/>
      <c r="N19" s="1383"/>
      <c r="O19" s="1655" t="s">
        <v>3484</v>
      </c>
      <c r="P19" s="1656"/>
      <c r="Q19" s="1656"/>
      <c r="R19" s="1639">
        <v>50</v>
      </c>
      <c r="S19" s="1657"/>
      <c r="U19" s="1395" t="s">
        <v>3566</v>
      </c>
      <c r="V19" s="1396"/>
      <c r="W19" s="1396"/>
      <c r="X19" s="1653">
        <v>2000</v>
      </c>
      <c r="Y19" s="1654"/>
      <c r="AA19" s="1641" t="s">
        <v>3685</v>
      </c>
      <c r="AB19" s="1642"/>
      <c r="AC19" s="1642"/>
      <c r="AD19" s="1608">
        <v>20</v>
      </c>
      <c r="AE19" s="1609"/>
    </row>
    <row r="20" spans="2:31" ht="15" x14ac:dyDescent="0.25">
      <c r="K20" s="1380" t="s">
        <v>3376</v>
      </c>
      <c r="L20" s="1639">
        <v>150</v>
      </c>
      <c r="M20" s="1640"/>
      <c r="N20" s="1383"/>
      <c r="O20" s="1655" t="s">
        <v>3485</v>
      </c>
      <c r="P20" s="1656"/>
      <c r="Q20" s="1656"/>
      <c r="R20" s="1639" t="s">
        <v>3471</v>
      </c>
      <c r="S20" s="1657"/>
      <c r="U20" s="1395" t="s">
        <v>3567</v>
      </c>
      <c r="V20" s="1396"/>
      <c r="W20" s="1396"/>
      <c r="X20" s="1653">
        <v>4000</v>
      </c>
      <c r="Y20" s="1654"/>
      <c r="AA20" s="1641"/>
      <c r="AB20" s="1642"/>
      <c r="AC20" s="1642"/>
      <c r="AD20" s="1608"/>
      <c r="AE20" s="1609"/>
    </row>
    <row r="21" spans="2:31" ht="15" x14ac:dyDescent="0.25">
      <c r="K21" s="1658" t="s">
        <v>3377</v>
      </c>
      <c r="L21" s="1659"/>
      <c r="M21" s="1381">
        <v>100</v>
      </c>
      <c r="N21" s="1383"/>
      <c r="O21" s="1655" t="s">
        <v>3486</v>
      </c>
      <c r="P21" s="1656"/>
      <c r="Q21" s="1656"/>
      <c r="R21" s="1639">
        <v>25</v>
      </c>
      <c r="S21" s="1657"/>
      <c r="U21" s="1395" t="s">
        <v>3568</v>
      </c>
      <c r="V21" s="1396"/>
      <c r="W21" s="1396"/>
      <c r="X21" s="1653">
        <v>200</v>
      </c>
      <c r="Y21" s="1654"/>
      <c r="AA21" s="1614" t="s">
        <v>3767</v>
      </c>
      <c r="AB21" s="1615"/>
      <c r="AC21" s="1615"/>
      <c r="AD21" s="1608"/>
      <c r="AE21" s="1609"/>
    </row>
    <row r="22" spans="2:31" ht="15" x14ac:dyDescent="0.25">
      <c r="B22" s="1675" t="s">
        <v>3372</v>
      </c>
      <c r="C22" s="1568"/>
      <c r="D22" s="1568"/>
      <c r="E22" s="1568"/>
      <c r="F22" s="1568"/>
      <c r="G22" s="1568"/>
      <c r="H22" s="1568"/>
      <c r="K22" s="1380" t="s">
        <v>3378</v>
      </c>
      <c r="L22" s="1639">
        <v>75</v>
      </c>
      <c r="M22" s="1640"/>
      <c r="N22" s="1383"/>
      <c r="O22" s="1655" t="s">
        <v>3487</v>
      </c>
      <c r="P22" s="1656"/>
      <c r="Q22" s="1656"/>
      <c r="R22" s="1639">
        <v>5</v>
      </c>
      <c r="S22" s="1657"/>
      <c r="U22" s="1395" t="s">
        <v>3569</v>
      </c>
      <c r="V22" s="1396"/>
      <c r="W22" s="1396"/>
      <c r="X22" s="1653">
        <v>27000</v>
      </c>
      <c r="Y22" s="1654"/>
      <c r="AA22" s="1641" t="s">
        <v>2133</v>
      </c>
      <c r="AB22" s="1642"/>
      <c r="AC22" s="1642"/>
      <c r="AD22" s="1608" t="s">
        <v>1992</v>
      </c>
      <c r="AE22" s="1609"/>
    </row>
    <row r="23" spans="2:31" ht="30" x14ac:dyDescent="0.25">
      <c r="B23" s="1568"/>
      <c r="C23" s="1568"/>
      <c r="D23" s="1568"/>
      <c r="E23" s="1568"/>
      <c r="F23" s="1568"/>
      <c r="G23" s="1568"/>
      <c r="H23" s="1568"/>
      <c r="K23" s="1380" t="s">
        <v>3379</v>
      </c>
      <c r="L23" s="1639">
        <v>50</v>
      </c>
      <c r="M23" s="1640"/>
      <c r="N23" s="1383"/>
      <c r="O23" s="1655" t="s">
        <v>3488</v>
      </c>
      <c r="P23" s="1656"/>
      <c r="Q23" s="1656"/>
      <c r="R23" s="1639">
        <v>1</v>
      </c>
      <c r="S23" s="1657"/>
      <c r="U23" s="1395" t="s">
        <v>3570</v>
      </c>
      <c r="V23" s="1396"/>
      <c r="W23" s="1396"/>
      <c r="X23" s="1653">
        <v>54000</v>
      </c>
      <c r="Y23" s="1654"/>
      <c r="AA23" s="1641" t="s">
        <v>3686</v>
      </c>
      <c r="AB23" s="1642"/>
      <c r="AC23" s="1642"/>
      <c r="AD23" s="1608">
        <v>250</v>
      </c>
      <c r="AE23" s="1609"/>
    </row>
    <row r="24" spans="2:31" ht="15" x14ac:dyDescent="0.25">
      <c r="K24" s="1380" t="s">
        <v>3380</v>
      </c>
      <c r="L24" s="1639">
        <v>15</v>
      </c>
      <c r="M24" s="1640"/>
      <c r="N24" s="1383"/>
      <c r="O24" s="1655" t="s">
        <v>3489</v>
      </c>
      <c r="P24" s="1656"/>
      <c r="Q24" s="1656"/>
      <c r="R24" s="1639" t="s">
        <v>3490</v>
      </c>
      <c r="S24" s="1657"/>
      <c r="U24" s="1395" t="s">
        <v>3571</v>
      </c>
      <c r="V24" s="1396"/>
      <c r="W24" s="1396"/>
      <c r="X24" s="1653">
        <v>900</v>
      </c>
      <c r="Y24" s="1654"/>
      <c r="AA24" s="1641" t="s">
        <v>3687</v>
      </c>
      <c r="AB24" s="1642"/>
      <c r="AC24" s="1642"/>
      <c r="AD24" s="1608">
        <v>750</v>
      </c>
      <c r="AE24" s="1609"/>
    </row>
    <row r="25" spans="2:31" ht="15.75" thickBot="1" x14ac:dyDescent="0.3">
      <c r="B25" s="215" t="s">
        <v>3368</v>
      </c>
      <c r="K25" s="1380" t="s">
        <v>3381</v>
      </c>
      <c r="L25" s="1639">
        <v>75</v>
      </c>
      <c r="M25" s="1640"/>
      <c r="N25" s="1383"/>
      <c r="O25" s="1655" t="s">
        <v>3491</v>
      </c>
      <c r="P25" s="1656"/>
      <c r="Q25" s="1656"/>
      <c r="R25" s="1639" t="s">
        <v>3492</v>
      </c>
      <c r="S25" s="1657"/>
      <c r="U25" s="1395" t="s">
        <v>3572</v>
      </c>
      <c r="V25" s="1396"/>
      <c r="W25" s="1396"/>
      <c r="X25" s="1653">
        <v>3000</v>
      </c>
      <c r="Y25" s="1654"/>
      <c r="AA25" s="1641" t="s">
        <v>3688</v>
      </c>
      <c r="AB25" s="1642"/>
      <c r="AC25" s="1642"/>
      <c r="AD25" s="1608">
        <v>500</v>
      </c>
      <c r="AE25" s="1609"/>
    </row>
    <row r="26" spans="2:31" ht="15" x14ac:dyDescent="0.25">
      <c r="B26" s="1334" t="s">
        <v>7</v>
      </c>
      <c r="C26" s="1335">
        <v>130000</v>
      </c>
      <c r="K26" s="1380" t="s">
        <v>3382</v>
      </c>
      <c r="L26" s="1639">
        <v>75</v>
      </c>
      <c r="M26" s="1640"/>
      <c r="N26" s="1383"/>
      <c r="O26" s="1655" t="s">
        <v>3493</v>
      </c>
      <c r="P26" s="1656"/>
      <c r="Q26" s="1656"/>
      <c r="R26" s="1639" t="s">
        <v>3494</v>
      </c>
      <c r="S26" s="1657"/>
      <c r="U26" s="1395" t="s">
        <v>3573</v>
      </c>
      <c r="V26" s="1396"/>
      <c r="W26" s="1396"/>
      <c r="X26" s="1653">
        <v>6000</v>
      </c>
      <c r="Y26" s="1654"/>
      <c r="AA26" s="1614"/>
      <c r="AB26" s="1615"/>
      <c r="AC26" s="1615"/>
      <c r="AD26" s="1608"/>
      <c r="AE26" s="1609"/>
    </row>
    <row r="27" spans="2:31" ht="15" x14ac:dyDescent="0.25">
      <c r="B27" s="1336" t="s">
        <v>3349</v>
      </c>
      <c r="C27" s="1337">
        <v>11000</v>
      </c>
      <c r="F27" s="316" t="s">
        <v>3373</v>
      </c>
      <c r="G27" s="1662"/>
      <c r="H27" s="1663"/>
      <c r="K27" s="1380" t="s">
        <v>3383</v>
      </c>
      <c r="L27" s="1639">
        <v>50</v>
      </c>
      <c r="M27" s="1640"/>
      <c r="N27" s="1383"/>
      <c r="O27" s="1655" t="s">
        <v>3495</v>
      </c>
      <c r="P27" s="1656"/>
      <c r="Q27" s="1656"/>
      <c r="R27" s="1639">
        <v>2</v>
      </c>
      <c r="S27" s="1657"/>
      <c r="U27" s="1395" t="s">
        <v>3574</v>
      </c>
      <c r="V27" s="1396"/>
      <c r="W27" s="1396"/>
      <c r="X27" s="1653">
        <v>300</v>
      </c>
      <c r="Y27" s="1654"/>
      <c r="AA27" s="1614" t="s">
        <v>3358</v>
      </c>
      <c r="AB27" s="1615"/>
      <c r="AC27" s="1615"/>
      <c r="AD27" s="1608"/>
      <c r="AE27" s="1609"/>
    </row>
    <row r="28" spans="2:31" ht="15" x14ac:dyDescent="0.25">
      <c r="B28" s="1336" t="s">
        <v>3350</v>
      </c>
      <c r="C28" s="1337">
        <v>1400</v>
      </c>
      <c r="K28" s="1380" t="s">
        <v>3384</v>
      </c>
      <c r="L28" s="1639">
        <v>30</v>
      </c>
      <c r="M28" s="1640"/>
      <c r="N28" s="1383"/>
      <c r="O28" s="1655" t="s">
        <v>3496</v>
      </c>
      <c r="P28" s="1656"/>
      <c r="Q28" s="1656"/>
      <c r="R28" s="1639">
        <v>0.5</v>
      </c>
      <c r="S28" s="1657"/>
      <c r="U28" s="1395" t="s">
        <v>3575</v>
      </c>
      <c r="V28" s="1396"/>
      <c r="W28" s="1396"/>
      <c r="X28" s="1653">
        <v>4000</v>
      </c>
      <c r="Y28" s="1654"/>
      <c r="AA28" s="1641" t="s">
        <v>2133</v>
      </c>
      <c r="AB28" s="1642"/>
      <c r="AC28" s="1642"/>
      <c r="AD28" s="1608" t="s">
        <v>1992</v>
      </c>
      <c r="AE28" s="1609"/>
    </row>
    <row r="29" spans="2:31" ht="15" x14ac:dyDescent="0.25">
      <c r="B29" s="1336" t="s">
        <v>3351</v>
      </c>
      <c r="C29" s="1337">
        <v>10000</v>
      </c>
      <c r="K29" s="1380" t="s">
        <v>3385</v>
      </c>
      <c r="L29" s="1639">
        <v>50</v>
      </c>
      <c r="M29" s="1640"/>
      <c r="N29" s="1383"/>
      <c r="O29" s="1655" t="s">
        <v>3497</v>
      </c>
      <c r="P29" s="1656"/>
      <c r="Q29" s="1656"/>
      <c r="R29" s="1639">
        <v>1</v>
      </c>
      <c r="S29" s="1657"/>
      <c r="U29" s="1395" t="s">
        <v>3576</v>
      </c>
      <c r="V29" s="1396"/>
      <c r="W29" s="1396"/>
      <c r="X29" s="1653">
        <v>8000</v>
      </c>
      <c r="Y29" s="1654"/>
      <c r="AA29" s="1641" t="s">
        <v>3689</v>
      </c>
      <c r="AB29" s="1642"/>
      <c r="AC29" s="1642"/>
      <c r="AD29" s="1608">
        <v>300</v>
      </c>
      <c r="AE29" s="1609"/>
    </row>
    <row r="30" spans="2:31" ht="15" x14ac:dyDescent="0.25">
      <c r="B30" s="1336" t="s">
        <v>3353</v>
      </c>
      <c r="C30" s="1337">
        <v>29000</v>
      </c>
      <c r="K30" s="1380" t="s">
        <v>3386</v>
      </c>
      <c r="L30" s="1639">
        <v>30</v>
      </c>
      <c r="M30" s="1640"/>
      <c r="N30" s="1383"/>
      <c r="O30" s="1655" t="s">
        <v>3498</v>
      </c>
      <c r="P30" s="1656"/>
      <c r="Q30" s="1656"/>
      <c r="R30" s="1639">
        <v>10</v>
      </c>
      <c r="S30" s="1657"/>
      <c r="U30" s="1395" t="s">
        <v>3577</v>
      </c>
      <c r="V30" s="1396"/>
      <c r="W30" s="1396"/>
      <c r="X30" s="1653">
        <v>400</v>
      </c>
      <c r="Y30" s="1654"/>
      <c r="AA30" s="1641" t="s">
        <v>3690</v>
      </c>
      <c r="AB30" s="1642"/>
      <c r="AC30" s="1642"/>
      <c r="AD30" s="1608">
        <v>900</v>
      </c>
      <c r="AE30" s="1609"/>
    </row>
    <row r="31" spans="2:31" ht="15.75" thickBot="1" x14ac:dyDescent="0.3">
      <c r="B31" s="1338" t="s">
        <v>3355</v>
      </c>
      <c r="C31" s="1339">
        <v>149</v>
      </c>
      <c r="K31" s="1380" t="s">
        <v>3387</v>
      </c>
      <c r="L31" s="1639">
        <v>15</v>
      </c>
      <c r="M31" s="1640"/>
      <c r="N31" s="1383"/>
      <c r="O31" s="1655" t="s">
        <v>3499</v>
      </c>
      <c r="P31" s="1656"/>
      <c r="Q31" s="1656"/>
      <c r="R31" s="1639" t="s">
        <v>3500</v>
      </c>
      <c r="S31" s="1657"/>
      <c r="U31" s="1395" t="s">
        <v>3578</v>
      </c>
      <c r="V31" s="1396"/>
      <c r="W31" s="1396"/>
      <c r="X31" s="1653">
        <v>9000</v>
      </c>
      <c r="Y31" s="1654"/>
      <c r="AA31" s="1641" t="s">
        <v>3691</v>
      </c>
      <c r="AB31" s="1642"/>
      <c r="AC31" s="1642"/>
      <c r="AD31" s="1608" t="s">
        <v>3692</v>
      </c>
      <c r="AE31" s="1609"/>
    </row>
    <row r="32" spans="2:31" ht="15" x14ac:dyDescent="0.25">
      <c r="C32" s="244"/>
      <c r="K32" s="1380" t="s">
        <v>3388</v>
      </c>
      <c r="L32" s="1639">
        <v>15</v>
      </c>
      <c r="M32" s="1640"/>
      <c r="N32" s="1383"/>
      <c r="O32" s="1655" t="s">
        <v>3501</v>
      </c>
      <c r="P32" s="1656"/>
      <c r="Q32" s="1656"/>
      <c r="R32" s="1639" t="s">
        <v>3502</v>
      </c>
      <c r="S32" s="1657"/>
      <c r="U32" s="1395" t="s">
        <v>3579</v>
      </c>
      <c r="V32" s="1396"/>
      <c r="W32" s="1396"/>
      <c r="X32" s="1653">
        <v>18000</v>
      </c>
      <c r="Y32" s="1654"/>
      <c r="AA32" s="1641" t="s">
        <v>3693</v>
      </c>
      <c r="AB32" s="1642"/>
      <c r="AC32" s="1642"/>
      <c r="AD32" s="1608" t="s">
        <v>3694</v>
      </c>
      <c r="AE32" s="1609"/>
    </row>
    <row r="33" spans="2:31" ht="15" x14ac:dyDescent="0.25">
      <c r="C33" s="244"/>
      <c r="K33" s="1380" t="s">
        <v>3389</v>
      </c>
      <c r="L33" s="1639">
        <v>25</v>
      </c>
      <c r="M33" s="1640"/>
      <c r="N33" s="1383"/>
      <c r="O33" s="1655" t="s">
        <v>3503</v>
      </c>
      <c r="P33" s="1656"/>
      <c r="Q33" s="1656"/>
      <c r="R33" s="1639" t="s">
        <v>3504</v>
      </c>
      <c r="S33" s="1657"/>
      <c r="U33" s="1395" t="s">
        <v>3580</v>
      </c>
      <c r="V33" s="1396"/>
      <c r="W33" s="1396"/>
      <c r="X33" s="1653">
        <v>600</v>
      </c>
      <c r="Y33" s="1654"/>
      <c r="AA33" s="1641" t="s">
        <v>3695</v>
      </c>
      <c r="AB33" s="1642"/>
      <c r="AC33" s="1642"/>
      <c r="AD33" s="1608">
        <v>1</v>
      </c>
      <c r="AE33" s="1609"/>
    </row>
    <row r="34" spans="2:31" ht="15" x14ac:dyDescent="0.25">
      <c r="K34" s="1380" t="s">
        <v>3390</v>
      </c>
      <c r="L34" s="1639">
        <v>75</v>
      </c>
      <c r="M34" s="1640"/>
      <c r="N34" s="1383"/>
      <c r="O34" s="1655" t="s">
        <v>3505</v>
      </c>
      <c r="P34" s="1656"/>
      <c r="Q34" s="1656"/>
      <c r="R34" s="1639">
        <v>2</v>
      </c>
      <c r="S34" s="1657"/>
      <c r="U34" s="1395" t="s">
        <v>3581</v>
      </c>
      <c r="V34" s="1396"/>
      <c r="W34" s="1396"/>
      <c r="X34" s="1653">
        <v>1000</v>
      </c>
      <c r="Y34" s="1654"/>
      <c r="AA34" s="1641" t="s">
        <v>3696</v>
      </c>
      <c r="AB34" s="1642"/>
      <c r="AC34" s="1642"/>
      <c r="AD34" s="1608">
        <v>50</v>
      </c>
      <c r="AE34" s="1609"/>
    </row>
    <row r="35" spans="2:31" ht="15.75" x14ac:dyDescent="0.25">
      <c r="B35" s="958" t="s">
        <v>3369</v>
      </c>
      <c r="K35" s="1380" t="s">
        <v>3392</v>
      </c>
      <c r="L35" s="1639" t="s">
        <v>3393</v>
      </c>
      <c r="M35" s="1640"/>
      <c r="N35" s="1383"/>
      <c r="O35" s="1655" t="s">
        <v>3506</v>
      </c>
      <c r="P35" s="1656"/>
      <c r="Q35" s="1656"/>
      <c r="R35" s="1639">
        <v>125</v>
      </c>
      <c r="S35" s="1657"/>
      <c r="U35" s="1395" t="s">
        <v>3582</v>
      </c>
      <c r="V35" s="1396"/>
      <c r="W35" s="1396"/>
      <c r="X35" s="1653">
        <v>2000</v>
      </c>
      <c r="Y35" s="1654"/>
      <c r="AA35" s="1641" t="s">
        <v>3697</v>
      </c>
      <c r="AB35" s="1642"/>
      <c r="AC35" s="1642"/>
      <c r="AD35" s="1608">
        <v>50</v>
      </c>
      <c r="AE35" s="1609"/>
    </row>
    <row r="36" spans="2:31" ht="15" x14ac:dyDescent="0.25">
      <c r="B36" s="215" t="s">
        <v>3364</v>
      </c>
      <c r="C36" s="1676" t="s">
        <v>2133</v>
      </c>
      <c r="D36" s="1676"/>
      <c r="E36" s="1676"/>
      <c r="F36" s="1676"/>
      <c r="G36" s="1677" t="s">
        <v>3168</v>
      </c>
      <c r="H36" s="1677"/>
      <c r="K36" s="1380" t="s">
        <v>3394</v>
      </c>
      <c r="L36" s="1639" t="s">
        <v>3395</v>
      </c>
      <c r="M36" s="1640"/>
      <c r="N36" s="1383"/>
      <c r="O36" s="1655" t="s">
        <v>3507</v>
      </c>
      <c r="P36" s="1656"/>
      <c r="Q36" s="1656"/>
      <c r="R36" s="1639">
        <v>50</v>
      </c>
      <c r="S36" s="1657"/>
      <c r="U36" s="1395" t="s">
        <v>3583</v>
      </c>
      <c r="V36" s="1396"/>
      <c r="W36" s="1396"/>
      <c r="X36" s="1653">
        <v>100</v>
      </c>
      <c r="Y36" s="1654"/>
      <c r="AA36" s="1641" t="s">
        <v>3698</v>
      </c>
      <c r="AB36" s="1642"/>
      <c r="AC36" s="1642"/>
      <c r="AD36" s="1608">
        <v>2</v>
      </c>
      <c r="AE36" s="1609"/>
    </row>
    <row r="37" spans="2:31" ht="15" x14ac:dyDescent="0.25">
      <c r="B37" s="1341" t="s">
        <v>3365</v>
      </c>
      <c r="C37" s="1673"/>
      <c r="D37" s="1674"/>
      <c r="E37" s="1674"/>
      <c r="F37" s="1674"/>
      <c r="G37" s="1664"/>
      <c r="H37" s="1665"/>
      <c r="K37" s="1380" t="s">
        <v>3396</v>
      </c>
      <c r="L37" s="1639">
        <v>1</v>
      </c>
      <c r="M37" s="1640"/>
      <c r="N37" s="1383"/>
      <c r="O37" s="1655" t="s">
        <v>3508</v>
      </c>
      <c r="P37" s="1656"/>
      <c r="Q37" s="1656"/>
      <c r="R37" s="1639">
        <v>1</v>
      </c>
      <c r="S37" s="1657"/>
      <c r="U37" s="1395" t="s">
        <v>3584</v>
      </c>
      <c r="V37" s="1396"/>
      <c r="W37" s="1396"/>
      <c r="X37" s="1653">
        <v>45000</v>
      </c>
      <c r="Y37" s="1654"/>
      <c r="AA37" s="1641" t="s">
        <v>3699</v>
      </c>
      <c r="AB37" s="1642"/>
      <c r="AC37" s="1642"/>
      <c r="AD37" s="1608">
        <v>25</v>
      </c>
      <c r="AE37" s="1609"/>
    </row>
    <row r="38" spans="2:31" ht="15" x14ac:dyDescent="0.25">
      <c r="B38" s="290"/>
      <c r="C38" s="1667"/>
      <c r="D38" s="1668"/>
      <c r="E38" s="1668"/>
      <c r="F38" s="1668"/>
      <c r="G38" s="1671"/>
      <c r="H38" s="1672"/>
      <c r="K38" s="1380" t="s">
        <v>3397</v>
      </c>
      <c r="L38" s="1639">
        <v>10</v>
      </c>
      <c r="M38" s="1640"/>
      <c r="N38" s="1383"/>
      <c r="O38" s="1655" t="s">
        <v>3509</v>
      </c>
      <c r="P38" s="1656"/>
      <c r="Q38" s="1656"/>
      <c r="R38" s="1639">
        <v>0.5</v>
      </c>
      <c r="S38" s="1657"/>
      <c r="U38" s="1395" t="s">
        <v>3585</v>
      </c>
      <c r="V38" s="1396"/>
      <c r="W38" s="1396"/>
      <c r="X38" s="1653">
        <v>90000</v>
      </c>
      <c r="Y38" s="1654"/>
      <c r="AA38" s="1641" t="s">
        <v>3700</v>
      </c>
      <c r="AB38" s="1642"/>
      <c r="AC38" s="1642"/>
      <c r="AD38" s="1608" t="s">
        <v>3701</v>
      </c>
      <c r="AE38" s="1609"/>
    </row>
    <row r="39" spans="2:31" ht="15" x14ac:dyDescent="0.25">
      <c r="B39" s="1341" t="s">
        <v>3356</v>
      </c>
      <c r="C39" s="1673"/>
      <c r="D39" s="1674"/>
      <c r="E39" s="1674"/>
      <c r="F39" s="1674"/>
      <c r="G39" s="1664"/>
      <c r="H39" s="1665"/>
      <c r="K39" s="1380" t="s">
        <v>3398</v>
      </c>
      <c r="L39" s="1639">
        <v>30</v>
      </c>
      <c r="M39" s="1640"/>
      <c r="N39" s="1383"/>
      <c r="O39" s="1655" t="s">
        <v>3510</v>
      </c>
      <c r="P39" s="1656"/>
      <c r="Q39" s="1656"/>
      <c r="R39" s="1639">
        <v>1</v>
      </c>
      <c r="S39" s="1657"/>
      <c r="U39" s="1395" t="s">
        <v>3586</v>
      </c>
      <c r="V39" s="1396"/>
      <c r="W39" s="1396"/>
      <c r="X39" s="1653">
        <v>1500</v>
      </c>
      <c r="Y39" s="1654"/>
      <c r="AA39" s="1641" t="s">
        <v>3702</v>
      </c>
      <c r="AB39" s="1642"/>
      <c r="AC39" s="1642"/>
      <c r="AD39" s="1608" t="s">
        <v>3651</v>
      </c>
      <c r="AE39" s="1609"/>
    </row>
    <row r="40" spans="2:31" ht="15" x14ac:dyDescent="0.25">
      <c r="B40" s="290"/>
      <c r="C40" s="1667"/>
      <c r="D40" s="1668"/>
      <c r="E40" s="1668"/>
      <c r="F40" s="1668"/>
      <c r="G40" s="1671"/>
      <c r="H40" s="1672"/>
      <c r="K40" s="1380" t="s">
        <v>3399</v>
      </c>
      <c r="L40" s="1639">
        <v>2</v>
      </c>
      <c r="M40" s="1640"/>
      <c r="N40" s="1383"/>
      <c r="O40" s="1655" t="s">
        <v>3511</v>
      </c>
      <c r="P40" s="1656"/>
      <c r="Q40" s="1656"/>
      <c r="R40" s="1639" t="s">
        <v>3492</v>
      </c>
      <c r="S40" s="1657"/>
      <c r="U40" s="1395" t="s">
        <v>3587</v>
      </c>
      <c r="V40" s="1396"/>
      <c r="W40" s="1396"/>
      <c r="X40" s="1653">
        <v>1250</v>
      </c>
      <c r="Y40" s="1654"/>
      <c r="AA40" s="1641" t="s">
        <v>3703</v>
      </c>
      <c r="AB40" s="1642"/>
      <c r="AC40" s="1642"/>
      <c r="AD40" s="1608">
        <v>50</v>
      </c>
      <c r="AE40" s="1609"/>
    </row>
    <row r="41" spans="2:31" ht="15" x14ac:dyDescent="0.25">
      <c r="B41" s="1341" t="s">
        <v>3366</v>
      </c>
      <c r="C41" s="1673"/>
      <c r="D41" s="1674"/>
      <c r="E41" s="1674"/>
      <c r="F41" s="1674"/>
      <c r="G41" s="1664"/>
      <c r="H41" s="1665"/>
      <c r="K41" s="1380" t="s">
        <v>3400</v>
      </c>
      <c r="L41" s="1639">
        <v>25</v>
      </c>
      <c r="M41" s="1640"/>
      <c r="N41" s="1383"/>
      <c r="O41" s="1655" t="s">
        <v>3512</v>
      </c>
      <c r="P41" s="1656"/>
      <c r="Q41" s="1656"/>
      <c r="R41" s="1639">
        <v>5</v>
      </c>
      <c r="S41" s="1657"/>
      <c r="U41" s="1395" t="s">
        <v>3588</v>
      </c>
      <c r="V41" s="1396"/>
      <c r="W41" s="1396"/>
      <c r="X41" s="1653">
        <v>2500</v>
      </c>
      <c r="Y41" s="1654"/>
      <c r="AA41" s="1641" t="s">
        <v>3704</v>
      </c>
      <c r="AB41" s="1642"/>
      <c r="AC41" s="1642"/>
      <c r="AD41" s="1608">
        <v>25</v>
      </c>
      <c r="AE41" s="1609"/>
    </row>
    <row r="42" spans="2:31" ht="15.75" thickBot="1" x14ac:dyDescent="0.3">
      <c r="B42" s="290"/>
      <c r="C42" s="1667"/>
      <c r="D42" s="1668"/>
      <c r="E42" s="1668"/>
      <c r="F42" s="1668"/>
      <c r="G42" s="1671"/>
      <c r="H42" s="1672"/>
      <c r="K42" s="1385"/>
      <c r="L42" s="1639"/>
      <c r="M42" s="1640"/>
      <c r="N42" s="1383"/>
      <c r="O42" s="1655" t="s">
        <v>3513</v>
      </c>
      <c r="P42" s="1656"/>
      <c r="Q42" s="1656"/>
      <c r="R42" s="1639">
        <v>3</v>
      </c>
      <c r="S42" s="1657"/>
      <c r="U42" s="1395" t="s">
        <v>3589</v>
      </c>
      <c r="V42" s="1396"/>
      <c r="W42" s="1396"/>
      <c r="X42" s="1653">
        <v>250</v>
      </c>
      <c r="Y42" s="1654"/>
      <c r="AA42" s="1616"/>
      <c r="AB42" s="1617"/>
      <c r="AC42" s="1617"/>
      <c r="AD42" s="1610"/>
      <c r="AE42" s="1611"/>
    </row>
    <row r="43" spans="2:31" ht="12.75" customHeight="1" x14ac:dyDescent="0.25">
      <c r="B43" s="1341" t="s">
        <v>3357</v>
      </c>
      <c r="C43" s="1673"/>
      <c r="D43" s="1674"/>
      <c r="E43" s="1674"/>
      <c r="F43" s="1674"/>
      <c r="G43" s="1664"/>
      <c r="H43" s="1665"/>
      <c r="K43" s="1386" t="s">
        <v>3416</v>
      </c>
      <c r="L43" s="1639"/>
      <c r="M43" s="1640"/>
      <c r="N43" s="1383"/>
      <c r="O43" s="1655" t="s">
        <v>3514</v>
      </c>
      <c r="P43" s="1656"/>
      <c r="Q43" s="1656"/>
      <c r="R43" s="1639">
        <v>1</v>
      </c>
      <c r="S43" s="1657"/>
      <c r="U43" s="1395"/>
      <c r="V43" s="1396"/>
      <c r="W43" s="1396"/>
      <c r="X43" s="1397"/>
      <c r="Y43" s="1398"/>
    </row>
    <row r="44" spans="2:31" ht="15" x14ac:dyDescent="0.25">
      <c r="B44" s="290"/>
      <c r="C44" s="1667"/>
      <c r="D44" s="1668"/>
      <c r="E44" s="1668"/>
      <c r="F44" s="1668"/>
      <c r="G44" s="1671"/>
      <c r="H44" s="1672"/>
      <c r="I44" s="338"/>
      <c r="J44" s="338"/>
      <c r="K44" s="1380" t="s">
        <v>2133</v>
      </c>
      <c r="L44" s="1639" t="s">
        <v>1992</v>
      </c>
      <c r="M44" s="1640"/>
      <c r="N44" s="1383"/>
      <c r="O44" s="1655" t="s">
        <v>3515</v>
      </c>
      <c r="P44" s="1656"/>
      <c r="Q44" s="1656"/>
      <c r="R44" s="1639">
        <v>5</v>
      </c>
      <c r="S44" s="1657"/>
      <c r="U44" s="1399" t="s">
        <v>3358</v>
      </c>
      <c r="V44" s="1396"/>
      <c r="W44" s="1396"/>
      <c r="X44" s="1397"/>
      <c r="Y44" s="1398"/>
    </row>
    <row r="45" spans="2:31" ht="15" x14ac:dyDescent="0.25">
      <c r="B45" s="1341" t="s">
        <v>3358</v>
      </c>
      <c r="C45" s="1673"/>
      <c r="D45" s="1674"/>
      <c r="E45" s="1674"/>
      <c r="F45" s="1674"/>
      <c r="G45" s="1664"/>
      <c r="H45" s="1665"/>
      <c r="K45" s="1380" t="s">
        <v>3401</v>
      </c>
      <c r="L45" s="1639">
        <v>5</v>
      </c>
      <c r="M45" s="1640"/>
      <c r="N45" s="1383"/>
      <c r="O45" s="1655" t="s">
        <v>3516</v>
      </c>
      <c r="P45" s="1656"/>
      <c r="Q45" s="1656"/>
      <c r="R45" s="1639">
        <v>25</v>
      </c>
      <c r="S45" s="1657"/>
      <c r="U45" s="1395" t="s">
        <v>2133</v>
      </c>
      <c r="V45" s="1396"/>
      <c r="W45" s="1396"/>
      <c r="X45" s="1653" t="s">
        <v>1992</v>
      </c>
      <c r="Y45" s="1654"/>
      <c r="AA45" s="314" t="s">
        <v>3705</v>
      </c>
    </row>
    <row r="46" spans="2:31" ht="15.75" thickBot="1" x14ac:dyDescent="0.3">
      <c r="B46" s="1342"/>
      <c r="C46" s="1666"/>
      <c r="D46" s="1615"/>
      <c r="E46" s="1615"/>
      <c r="F46" s="1615"/>
      <c r="G46" s="1669"/>
      <c r="H46" s="1670"/>
      <c r="K46" s="1385"/>
      <c r="L46" s="1639"/>
      <c r="M46" s="1640"/>
      <c r="N46" s="1383"/>
      <c r="O46" s="1655" t="s">
        <v>3517</v>
      </c>
      <c r="P46" s="1656"/>
      <c r="Q46" s="1656"/>
      <c r="R46" s="1639">
        <v>75</v>
      </c>
      <c r="S46" s="1657"/>
      <c r="U46" s="1395" t="s">
        <v>3590</v>
      </c>
      <c r="V46" s="1396"/>
      <c r="W46" s="1396"/>
      <c r="X46" s="1653">
        <v>400</v>
      </c>
      <c r="Y46" s="1654"/>
    </row>
    <row r="47" spans="2:31" ht="15" x14ac:dyDescent="0.25">
      <c r="B47" s="1342"/>
      <c r="C47" s="1666"/>
      <c r="D47" s="1615"/>
      <c r="E47" s="1615"/>
      <c r="F47" s="1615"/>
      <c r="G47" s="1669"/>
      <c r="H47" s="1670"/>
      <c r="K47" s="1386" t="s">
        <v>3417</v>
      </c>
      <c r="L47" s="1639"/>
      <c r="M47" s="1640"/>
      <c r="N47" s="1383"/>
      <c r="O47" s="1655" t="s">
        <v>3518</v>
      </c>
      <c r="P47" s="1656"/>
      <c r="Q47" s="1656"/>
      <c r="R47" s="1639">
        <v>15</v>
      </c>
      <c r="S47" s="1657"/>
      <c r="U47" s="1395" t="s">
        <v>3591</v>
      </c>
      <c r="V47" s="1396"/>
      <c r="W47" s="1396"/>
      <c r="X47" s="1653" t="s">
        <v>3592</v>
      </c>
      <c r="Y47" s="1654"/>
      <c r="AA47" s="1404" t="s">
        <v>3763</v>
      </c>
      <c r="AB47" s="1404"/>
      <c r="AC47" s="1405"/>
      <c r="AD47" s="1624"/>
      <c r="AE47" s="1625"/>
    </row>
    <row r="48" spans="2:31" ht="15" x14ac:dyDescent="0.25">
      <c r="B48" s="290"/>
      <c r="C48" s="1667"/>
      <c r="D48" s="1668"/>
      <c r="E48" s="1668"/>
      <c r="F48" s="1668"/>
      <c r="G48" s="1671"/>
      <c r="H48" s="1672"/>
      <c r="K48" s="1384" t="s">
        <v>2133</v>
      </c>
      <c r="L48" s="1381"/>
      <c r="M48" s="1387" t="s">
        <v>1992</v>
      </c>
      <c r="N48" s="1383"/>
      <c r="O48" s="1655" t="s">
        <v>3519</v>
      </c>
      <c r="P48" s="1656"/>
      <c r="Q48" s="1656"/>
      <c r="R48" s="1639">
        <v>75</v>
      </c>
      <c r="S48" s="1657"/>
      <c r="U48" s="1395" t="s">
        <v>3593</v>
      </c>
      <c r="V48" s="1396"/>
      <c r="W48" s="1396"/>
      <c r="X48" s="1653" t="s">
        <v>3594</v>
      </c>
      <c r="Y48" s="1654"/>
      <c r="AA48" s="1643" t="s">
        <v>2133</v>
      </c>
      <c r="AB48" s="1644"/>
      <c r="AC48" s="1644"/>
      <c r="AD48" s="1620" t="s">
        <v>1992</v>
      </c>
      <c r="AE48" s="1621"/>
    </row>
    <row r="49" spans="2:31" ht="15" x14ac:dyDescent="0.25">
      <c r="F49" s="245" t="s">
        <v>3370</v>
      </c>
      <c r="G49" s="1662">
        <f>SUM(G37:H48)</f>
        <v>0</v>
      </c>
      <c r="H49" s="1663"/>
      <c r="K49" s="1384" t="s">
        <v>3402</v>
      </c>
      <c r="L49" s="1381"/>
      <c r="M49" s="1387">
        <v>3</v>
      </c>
      <c r="N49" s="1383"/>
      <c r="O49" s="1655" t="s">
        <v>3520</v>
      </c>
      <c r="P49" s="1656"/>
      <c r="Q49" s="1656"/>
      <c r="R49" s="1639">
        <v>1</v>
      </c>
      <c r="S49" s="1657"/>
      <c r="U49" s="1395" t="s">
        <v>3595</v>
      </c>
      <c r="V49" s="1396"/>
      <c r="W49" s="1396"/>
      <c r="X49" s="1653" t="s">
        <v>3596</v>
      </c>
      <c r="Y49" s="1654"/>
      <c r="AA49" s="1643" t="s">
        <v>3706</v>
      </c>
      <c r="AB49" s="1644"/>
      <c r="AC49" s="1644"/>
      <c r="AD49" s="1620" t="s">
        <v>3707</v>
      </c>
      <c r="AE49" s="1621"/>
    </row>
    <row r="50" spans="2:31" ht="15" x14ac:dyDescent="0.25">
      <c r="G50" s="1664"/>
      <c r="H50" s="1665"/>
      <c r="K50" s="1384" t="s">
        <v>3403</v>
      </c>
      <c r="L50" s="1381"/>
      <c r="M50" s="1387">
        <v>350</v>
      </c>
      <c r="N50" s="1383"/>
      <c r="O50" s="1655" t="s">
        <v>3521</v>
      </c>
      <c r="P50" s="1656"/>
      <c r="Q50" s="1656"/>
      <c r="R50" s="1639">
        <v>10</v>
      </c>
      <c r="S50" s="1657"/>
      <c r="U50" s="1395" t="s">
        <v>3597</v>
      </c>
      <c r="V50" s="1396"/>
      <c r="W50" s="1396"/>
      <c r="X50" s="1653" t="s">
        <v>3598</v>
      </c>
      <c r="Y50" s="1654"/>
      <c r="AA50" s="1643" t="s">
        <v>3708</v>
      </c>
      <c r="AB50" s="1644"/>
      <c r="AC50" s="1644"/>
      <c r="AD50" s="1620" t="s">
        <v>3709</v>
      </c>
      <c r="AE50" s="1621"/>
    </row>
    <row r="51" spans="2:31" ht="15" x14ac:dyDescent="0.25">
      <c r="F51" s="316" t="s">
        <v>3371</v>
      </c>
      <c r="G51" s="1662">
        <f>G27-G49</f>
        <v>0</v>
      </c>
      <c r="H51" s="1663"/>
      <c r="K51" s="1384" t="s">
        <v>3404</v>
      </c>
      <c r="L51" s="1381"/>
      <c r="M51" s="1387">
        <v>150</v>
      </c>
      <c r="N51" s="1383"/>
      <c r="O51" s="1655" t="s">
        <v>3522</v>
      </c>
      <c r="P51" s="1656"/>
      <c r="Q51" s="1656"/>
      <c r="R51" s="1639">
        <v>5</v>
      </c>
      <c r="S51" s="1657"/>
      <c r="U51" s="1395" t="s">
        <v>3599</v>
      </c>
      <c r="V51" s="1396"/>
      <c r="W51" s="1396"/>
      <c r="X51" s="1653">
        <v>2</v>
      </c>
      <c r="Y51" s="1654"/>
      <c r="AA51" s="1643" t="s">
        <v>3710</v>
      </c>
      <c r="AB51" s="1644"/>
      <c r="AC51" s="1644"/>
      <c r="AD51" s="1620">
        <v>200</v>
      </c>
      <c r="AE51" s="1621"/>
    </row>
    <row r="52" spans="2:31" ht="15" x14ac:dyDescent="0.25">
      <c r="F52" s="316" t="s">
        <v>3374</v>
      </c>
      <c r="K52" s="1384" t="s">
        <v>3405</v>
      </c>
      <c r="L52" s="1381"/>
      <c r="M52" s="1387">
        <v>100</v>
      </c>
      <c r="N52" s="1383"/>
      <c r="O52" s="1655" t="s">
        <v>3523</v>
      </c>
      <c r="P52" s="1656"/>
      <c r="Q52" s="1656"/>
      <c r="R52" s="1639">
        <v>50</v>
      </c>
      <c r="S52" s="1657"/>
      <c r="U52" s="1395" t="s">
        <v>3600</v>
      </c>
      <c r="V52" s="1396"/>
      <c r="W52" s="1396"/>
      <c r="X52" s="1653">
        <v>2</v>
      </c>
      <c r="Y52" s="1654"/>
      <c r="AA52" s="1643" t="s">
        <v>3711</v>
      </c>
      <c r="AB52" s="1644"/>
      <c r="AC52" s="1644"/>
      <c r="AD52" s="1620" t="s">
        <v>3712</v>
      </c>
      <c r="AE52" s="1621"/>
    </row>
    <row r="53" spans="2:31" ht="15" x14ac:dyDescent="0.25">
      <c r="F53" s="316"/>
      <c r="K53" s="1384" t="s">
        <v>3406</v>
      </c>
      <c r="L53" s="1381"/>
      <c r="M53" s="1387">
        <v>50</v>
      </c>
      <c r="N53" s="1383"/>
      <c r="O53" s="1655" t="s">
        <v>3524</v>
      </c>
      <c r="P53" s="1656"/>
      <c r="Q53" s="1656"/>
      <c r="R53" s="1639">
        <v>10</v>
      </c>
      <c r="S53" s="1657"/>
      <c r="U53" s="1395" t="s">
        <v>3601</v>
      </c>
      <c r="V53" s="1396"/>
      <c r="W53" s="1396"/>
      <c r="X53" s="1653">
        <v>25</v>
      </c>
      <c r="Y53" s="1654"/>
      <c r="AA53" s="1643" t="s">
        <v>3713</v>
      </c>
      <c r="AB53" s="1644"/>
      <c r="AC53" s="1644"/>
      <c r="AD53" s="1620">
        <v>10</v>
      </c>
      <c r="AE53" s="1621"/>
    </row>
    <row r="54" spans="2:31" ht="15" x14ac:dyDescent="0.25">
      <c r="F54" s="316"/>
      <c r="K54" s="1384" t="s">
        <v>3407</v>
      </c>
      <c r="L54" s="1381"/>
      <c r="M54" s="1387">
        <v>200</v>
      </c>
      <c r="N54" s="1383"/>
      <c r="O54" s="1655" t="s">
        <v>3525</v>
      </c>
      <c r="P54" s="1656"/>
      <c r="Q54" s="1656"/>
      <c r="R54" s="1639">
        <v>30</v>
      </c>
      <c r="S54" s="1657"/>
      <c r="U54" s="1395" t="s">
        <v>3602</v>
      </c>
      <c r="V54" s="1396"/>
      <c r="W54" s="1396"/>
      <c r="X54" s="1653">
        <v>50</v>
      </c>
      <c r="Y54" s="1654"/>
      <c r="AA54" s="1643" t="s">
        <v>3714</v>
      </c>
      <c r="AB54" s="1644"/>
      <c r="AC54" s="1644"/>
      <c r="AD54" s="1620" t="s">
        <v>3712</v>
      </c>
      <c r="AE54" s="1621"/>
    </row>
    <row r="55" spans="2:31" ht="15" x14ac:dyDescent="0.25">
      <c r="F55" s="316"/>
      <c r="K55" s="1384" t="s">
        <v>3408</v>
      </c>
      <c r="L55" s="1381"/>
      <c r="M55" s="1387">
        <v>100</v>
      </c>
      <c r="N55" s="1383"/>
      <c r="O55" s="1655" t="s">
        <v>3526</v>
      </c>
      <c r="P55" s="1656"/>
      <c r="Q55" s="1656"/>
      <c r="R55" s="1639">
        <v>100</v>
      </c>
      <c r="S55" s="1657"/>
      <c r="U55" s="1395" t="s">
        <v>3603</v>
      </c>
      <c r="V55" s="1396"/>
      <c r="W55" s="1396"/>
      <c r="X55" s="1653">
        <v>25</v>
      </c>
      <c r="Y55" s="1654"/>
      <c r="AA55" s="1643" t="s">
        <v>3715</v>
      </c>
      <c r="AB55" s="1644"/>
      <c r="AC55" s="1644"/>
      <c r="AD55" s="1620" t="s">
        <v>3712</v>
      </c>
      <c r="AE55" s="1621"/>
    </row>
    <row r="56" spans="2:31" ht="15" x14ac:dyDescent="0.25">
      <c r="B56" s="245" t="s">
        <v>3773</v>
      </c>
      <c r="F56" s="316"/>
      <c r="K56" s="1384" t="s">
        <v>3409</v>
      </c>
      <c r="L56" s="1381"/>
      <c r="M56" s="1387">
        <v>500</v>
      </c>
      <c r="N56" s="1383"/>
      <c r="O56" s="1655" t="s">
        <v>3527</v>
      </c>
      <c r="P56" s="1656"/>
      <c r="Q56" s="1656"/>
      <c r="R56" s="1639" t="s">
        <v>3421</v>
      </c>
      <c r="S56" s="1657"/>
      <c r="U56" s="1395" t="s">
        <v>3604</v>
      </c>
      <c r="V56" s="1396"/>
      <c r="W56" s="1396"/>
      <c r="X56" s="1653">
        <v>2</v>
      </c>
      <c r="Y56" s="1654"/>
      <c r="AA56" s="1643" t="s">
        <v>3716</v>
      </c>
      <c r="AB56" s="1644"/>
      <c r="AC56" s="1644"/>
      <c r="AD56" s="1620">
        <v>10000</v>
      </c>
      <c r="AE56" s="1621"/>
    </row>
    <row r="57" spans="2:31" ht="15" x14ac:dyDescent="0.25">
      <c r="B57" s="245" t="s">
        <v>3774</v>
      </c>
      <c r="F57" s="316"/>
      <c r="K57" s="1384" t="s">
        <v>3410</v>
      </c>
      <c r="L57" s="1381"/>
      <c r="M57" s="1387">
        <v>200</v>
      </c>
      <c r="N57" s="1383"/>
      <c r="O57" s="1655" t="s">
        <v>3528</v>
      </c>
      <c r="P57" s="1656"/>
      <c r="Q57" s="1656"/>
      <c r="R57" s="1639">
        <v>15</v>
      </c>
      <c r="S57" s="1657"/>
      <c r="U57" s="1395" t="s">
        <v>3605</v>
      </c>
      <c r="V57" s="1396"/>
      <c r="W57" s="1396"/>
      <c r="X57" s="1653">
        <v>20</v>
      </c>
      <c r="Y57" s="1654"/>
      <c r="AA57" s="1643" t="s">
        <v>3717</v>
      </c>
      <c r="AB57" s="1644"/>
      <c r="AC57" s="1644"/>
      <c r="AD57" s="1620" t="s">
        <v>3718</v>
      </c>
      <c r="AE57" s="1621"/>
    </row>
    <row r="58" spans="2:31" ht="15" x14ac:dyDescent="0.25">
      <c r="K58" s="1384" t="s">
        <v>3411</v>
      </c>
      <c r="L58" s="1381"/>
      <c r="M58" s="1387">
        <v>1</v>
      </c>
      <c r="N58" s="1383"/>
      <c r="O58" s="1655" t="s">
        <v>3529</v>
      </c>
      <c r="P58" s="1656"/>
      <c r="Q58" s="1656"/>
      <c r="R58" s="1639">
        <v>5</v>
      </c>
      <c r="S58" s="1657"/>
      <c r="U58" s="1395" t="s">
        <v>3606</v>
      </c>
      <c r="V58" s="1396"/>
      <c r="W58" s="1396"/>
      <c r="X58" s="1653">
        <v>5</v>
      </c>
      <c r="Y58" s="1654"/>
      <c r="AA58" s="1643" t="s">
        <v>3719</v>
      </c>
      <c r="AB58" s="1644"/>
      <c r="AC58" s="1644"/>
      <c r="AD58" s="1620">
        <v>10</v>
      </c>
      <c r="AE58" s="1621"/>
    </row>
    <row r="59" spans="2:31" ht="15.75" x14ac:dyDescent="0.25">
      <c r="B59" s="958" t="s">
        <v>3772</v>
      </c>
      <c r="K59" s="1384" t="s">
        <v>3412</v>
      </c>
      <c r="L59" s="1381"/>
      <c r="M59" s="1387">
        <v>25</v>
      </c>
      <c r="N59" s="1383"/>
      <c r="O59" s="1655" t="s">
        <v>3530</v>
      </c>
      <c r="P59" s="1656"/>
      <c r="Q59" s="1656"/>
      <c r="R59" s="1639">
        <v>5</v>
      </c>
      <c r="S59" s="1657"/>
      <c r="U59" s="1395" t="s">
        <v>3607</v>
      </c>
      <c r="V59" s="1396"/>
      <c r="W59" s="1396"/>
      <c r="X59" s="1653">
        <v>20</v>
      </c>
      <c r="Y59" s="1654"/>
      <c r="AA59" s="1643" t="s">
        <v>3720</v>
      </c>
      <c r="AB59" s="1644"/>
      <c r="AC59" s="1644"/>
      <c r="AD59" s="1620" t="s">
        <v>3721</v>
      </c>
      <c r="AE59" s="1621"/>
    </row>
    <row r="60" spans="2:31" ht="15" x14ac:dyDescent="0.25">
      <c r="B60" s="245" t="s">
        <v>2133</v>
      </c>
      <c r="C60" s="245" t="s">
        <v>1992</v>
      </c>
      <c r="E60" s="245" t="s">
        <v>2133</v>
      </c>
      <c r="H60" s="245" t="s">
        <v>1992</v>
      </c>
      <c r="K60" s="1384" t="s">
        <v>3413</v>
      </c>
      <c r="L60" s="1381"/>
      <c r="M60" s="1387">
        <v>75</v>
      </c>
      <c r="N60" s="1383"/>
      <c r="O60" s="1655" t="s">
        <v>3531</v>
      </c>
      <c r="P60" s="1656"/>
      <c r="Q60" s="1656"/>
      <c r="R60" s="1639">
        <v>10</v>
      </c>
      <c r="S60" s="1657"/>
      <c r="U60" s="1395" t="s">
        <v>3608</v>
      </c>
      <c r="V60" s="1396"/>
      <c r="W60" s="1396"/>
      <c r="X60" s="1653">
        <v>50</v>
      </c>
      <c r="Y60" s="1654"/>
      <c r="AA60" s="1643" t="s">
        <v>3722</v>
      </c>
      <c r="AB60" s="1644"/>
      <c r="AC60" s="1644"/>
      <c r="AD60" s="1620">
        <v>100</v>
      </c>
      <c r="AE60" s="1621"/>
    </row>
    <row r="61" spans="2:31" ht="15" x14ac:dyDescent="0.25">
      <c r="B61" s="294"/>
      <c r="C61" s="294"/>
      <c r="E61" s="1637"/>
      <c r="F61" s="1638"/>
      <c r="G61" s="1638"/>
      <c r="H61" s="294"/>
      <c r="K61" s="1384" t="s">
        <v>3414</v>
      </c>
      <c r="L61" s="1381"/>
      <c r="M61" s="1387" t="s">
        <v>3415</v>
      </c>
      <c r="N61" s="1383"/>
      <c r="O61" s="1655" t="s">
        <v>3532</v>
      </c>
      <c r="P61" s="1656"/>
      <c r="Q61" s="1656"/>
      <c r="R61" s="1639">
        <v>7</v>
      </c>
      <c r="S61" s="1657"/>
      <c r="U61" s="1395" t="s">
        <v>3609</v>
      </c>
      <c r="V61" s="1396"/>
      <c r="W61" s="1396"/>
      <c r="X61" s="1653">
        <v>200</v>
      </c>
      <c r="Y61" s="1654"/>
      <c r="AA61" s="1643" t="s">
        <v>3723</v>
      </c>
      <c r="AB61" s="1644"/>
      <c r="AC61" s="1644"/>
      <c r="AD61" s="1620">
        <v>50</v>
      </c>
      <c r="AE61" s="1621"/>
    </row>
    <row r="62" spans="2:31" ht="15" x14ac:dyDescent="0.25">
      <c r="B62" s="294"/>
      <c r="C62" s="294"/>
      <c r="E62" s="1637"/>
      <c r="F62" s="1638"/>
      <c r="G62" s="1638"/>
      <c r="H62" s="294"/>
      <c r="K62" s="1384"/>
      <c r="L62" s="1381"/>
      <c r="M62" s="1387"/>
      <c r="N62" s="1383"/>
      <c r="O62" s="1655" t="s">
        <v>3533</v>
      </c>
      <c r="P62" s="1656"/>
      <c r="Q62" s="1656"/>
      <c r="R62" s="1639">
        <v>1</v>
      </c>
      <c r="S62" s="1657"/>
      <c r="U62" s="1395" t="s">
        <v>3610</v>
      </c>
      <c r="V62" s="1396"/>
      <c r="W62" s="1396"/>
      <c r="X62" s="1653">
        <v>20</v>
      </c>
      <c r="Y62" s="1654"/>
      <c r="AA62" s="1643" t="s">
        <v>3724</v>
      </c>
      <c r="AB62" s="1644"/>
      <c r="AC62" s="1644"/>
      <c r="AD62" s="1620" t="s">
        <v>3725</v>
      </c>
      <c r="AE62" s="1621"/>
    </row>
    <row r="63" spans="2:31" ht="15" x14ac:dyDescent="0.25">
      <c r="B63" s="294"/>
      <c r="C63" s="294"/>
      <c r="E63" s="1637"/>
      <c r="F63" s="1638"/>
      <c r="G63" s="1638"/>
      <c r="H63" s="294"/>
      <c r="K63" s="1386" t="s">
        <v>3560</v>
      </c>
      <c r="L63" s="1388"/>
      <c r="M63" s="1388"/>
      <c r="N63" s="1383"/>
      <c r="O63" s="1655" t="s">
        <v>3534</v>
      </c>
      <c r="P63" s="1656"/>
      <c r="Q63" s="1656"/>
      <c r="R63" s="1639" t="s">
        <v>3471</v>
      </c>
      <c r="S63" s="1657"/>
      <c r="U63" s="1395" t="s">
        <v>2133</v>
      </c>
      <c r="V63" s="1396"/>
      <c r="W63" s="1396"/>
      <c r="X63" s="1653" t="s">
        <v>1992</v>
      </c>
      <c r="Y63" s="1654"/>
      <c r="AA63" s="1643" t="s">
        <v>3726</v>
      </c>
      <c r="AB63" s="1644"/>
      <c r="AC63" s="1644"/>
      <c r="AD63" s="1620">
        <v>10</v>
      </c>
      <c r="AE63" s="1621"/>
    </row>
    <row r="64" spans="2:31" ht="15" x14ac:dyDescent="0.25">
      <c r="B64" s="294"/>
      <c r="C64" s="294"/>
      <c r="E64" s="1637"/>
      <c r="F64" s="1638"/>
      <c r="G64" s="1638"/>
      <c r="H64" s="294"/>
      <c r="K64" s="1384" t="s">
        <v>2133</v>
      </c>
      <c r="L64" s="1381"/>
      <c r="M64" s="1387" t="s">
        <v>1992</v>
      </c>
      <c r="N64" s="1383"/>
      <c r="O64" s="1655" t="s">
        <v>3535</v>
      </c>
      <c r="P64" s="1656"/>
      <c r="Q64" s="1656"/>
      <c r="R64" s="1639" t="s">
        <v>3536</v>
      </c>
      <c r="S64" s="1657"/>
      <c r="U64" s="1395" t="s">
        <v>3611</v>
      </c>
      <c r="V64" s="1396"/>
      <c r="W64" s="1396"/>
      <c r="X64" s="1653">
        <v>350</v>
      </c>
      <c r="Y64" s="1654"/>
      <c r="AA64" s="1643" t="s">
        <v>3727</v>
      </c>
      <c r="AB64" s="1644"/>
      <c r="AC64" s="1644"/>
      <c r="AD64" s="1620">
        <v>2</v>
      </c>
      <c r="AE64" s="1621"/>
    </row>
    <row r="65" spans="2:32" ht="15" x14ac:dyDescent="0.25">
      <c r="B65" s="294"/>
      <c r="C65" s="294"/>
      <c r="E65" s="1637"/>
      <c r="F65" s="1638"/>
      <c r="G65" s="1638"/>
      <c r="H65" s="294"/>
      <c r="K65" s="1384" t="s">
        <v>3418</v>
      </c>
      <c r="L65" s="1381"/>
      <c r="M65" s="1387" t="s">
        <v>3419</v>
      </c>
      <c r="N65" s="1383"/>
      <c r="O65" s="1655" t="s">
        <v>3537</v>
      </c>
      <c r="P65" s="1656"/>
      <c r="Q65" s="1656"/>
      <c r="R65" s="1639">
        <v>15</v>
      </c>
      <c r="S65" s="1657"/>
      <c r="U65" s="1395" t="s">
        <v>3612</v>
      </c>
      <c r="V65" s="1396"/>
      <c r="W65" s="1396"/>
      <c r="X65" s="1653">
        <v>3</v>
      </c>
      <c r="Y65" s="1654"/>
      <c r="AA65" s="1643" t="s">
        <v>3728</v>
      </c>
      <c r="AB65" s="1644"/>
      <c r="AC65" s="1644"/>
      <c r="AD65" s="1620">
        <v>2</v>
      </c>
      <c r="AE65" s="1621"/>
    </row>
    <row r="66" spans="2:32" ht="15" x14ac:dyDescent="0.25">
      <c r="B66" s="294"/>
      <c r="C66" s="294"/>
      <c r="E66" s="1637"/>
      <c r="F66" s="1638"/>
      <c r="G66" s="1638"/>
      <c r="H66" s="294"/>
      <c r="K66" s="1384" t="s">
        <v>3420</v>
      </c>
      <c r="L66" s="1381"/>
      <c r="M66" s="1387" t="s">
        <v>3421</v>
      </c>
      <c r="N66" s="1383"/>
      <c r="O66" s="1655" t="s">
        <v>3538</v>
      </c>
      <c r="P66" s="1656"/>
      <c r="Q66" s="1656"/>
      <c r="R66" s="1639">
        <v>25</v>
      </c>
      <c r="S66" s="1657"/>
      <c r="U66" s="1395" t="s">
        <v>3613</v>
      </c>
      <c r="V66" s="1396"/>
      <c r="W66" s="1396"/>
      <c r="X66" s="1653">
        <v>500</v>
      </c>
      <c r="Y66" s="1654"/>
      <c r="AA66" s="1643" t="s">
        <v>3729</v>
      </c>
      <c r="AB66" s="1644"/>
      <c r="AC66" s="1644"/>
      <c r="AD66" s="1620">
        <v>100</v>
      </c>
      <c r="AE66" s="1621"/>
    </row>
    <row r="67" spans="2:32" ht="15" x14ac:dyDescent="0.25">
      <c r="B67" s="294"/>
      <c r="C67" s="294"/>
      <c r="E67" s="1637"/>
      <c r="F67" s="1638"/>
      <c r="G67" s="1638"/>
      <c r="H67" s="294"/>
      <c r="K67" s="1384" t="s">
        <v>3422</v>
      </c>
      <c r="L67" s="1381"/>
      <c r="M67" s="1387" t="s">
        <v>3423</v>
      </c>
      <c r="N67" s="1383"/>
      <c r="O67" s="1655" t="s">
        <v>3539</v>
      </c>
      <c r="P67" s="1656"/>
      <c r="Q67" s="1656"/>
      <c r="R67" s="1639">
        <v>20</v>
      </c>
      <c r="S67" s="1657"/>
      <c r="U67" s="1395" t="s">
        <v>3614</v>
      </c>
      <c r="V67" s="1396"/>
      <c r="W67" s="1396"/>
      <c r="X67" s="1653">
        <v>10</v>
      </c>
      <c r="Y67" s="1654"/>
      <c r="AA67" s="1645" t="s">
        <v>3730</v>
      </c>
      <c r="AB67" s="1646"/>
      <c r="AC67" s="1646"/>
      <c r="AD67" s="1620"/>
      <c r="AE67" s="1621"/>
    </row>
    <row r="68" spans="2:32" ht="15" x14ac:dyDescent="0.25">
      <c r="B68" s="294"/>
      <c r="C68" s="294"/>
      <c r="E68" s="1637"/>
      <c r="F68" s="1638"/>
      <c r="G68" s="1638"/>
      <c r="H68" s="294"/>
      <c r="K68" s="1384" t="s">
        <v>3424</v>
      </c>
      <c r="L68" s="1381"/>
      <c r="M68" s="1387" t="s">
        <v>3425</v>
      </c>
      <c r="N68" s="1383"/>
      <c r="O68" s="1655" t="s">
        <v>3540</v>
      </c>
      <c r="P68" s="1656"/>
      <c r="Q68" s="1656"/>
      <c r="R68" s="1639">
        <v>35</v>
      </c>
      <c r="S68" s="1657"/>
      <c r="U68" s="1395"/>
      <c r="V68" s="1396"/>
      <c r="W68" s="1396"/>
      <c r="X68" s="1653"/>
      <c r="Y68" s="1654"/>
      <c r="AA68" s="1406"/>
      <c r="AB68" s="1407"/>
      <c r="AC68" s="1407"/>
      <c r="AD68" s="1620"/>
      <c r="AE68" s="1621"/>
    </row>
    <row r="69" spans="2:32" ht="15" x14ac:dyDescent="0.25">
      <c r="B69" s="294"/>
      <c r="C69" s="294"/>
      <c r="E69" s="1637"/>
      <c r="F69" s="1638"/>
      <c r="G69" s="1638"/>
      <c r="H69" s="294"/>
      <c r="K69" s="1384" t="s">
        <v>3426</v>
      </c>
      <c r="L69" s="1381"/>
      <c r="M69" s="1387" t="s">
        <v>3427</v>
      </c>
      <c r="N69" s="1383"/>
      <c r="O69" s="1655" t="s">
        <v>3541</v>
      </c>
      <c r="P69" s="1656"/>
      <c r="Q69" s="1656"/>
      <c r="R69" s="1639">
        <v>10</v>
      </c>
      <c r="S69" s="1657"/>
      <c r="U69" s="1395"/>
      <c r="V69" s="1396"/>
      <c r="W69" s="1396"/>
      <c r="X69" s="1653"/>
      <c r="Y69" s="1654"/>
      <c r="AA69" s="1408" t="s">
        <v>3764</v>
      </c>
      <c r="AB69" s="1407"/>
      <c r="AC69" s="1407"/>
      <c r="AD69" s="1620"/>
      <c r="AE69" s="1621"/>
    </row>
    <row r="70" spans="2:32" ht="15" x14ac:dyDescent="0.25">
      <c r="B70" s="294"/>
      <c r="C70" s="294"/>
      <c r="E70" s="1637"/>
      <c r="F70" s="1638"/>
      <c r="G70" s="1638"/>
      <c r="H70" s="294"/>
      <c r="K70" s="1384" t="s">
        <v>3428</v>
      </c>
      <c r="L70" s="1381"/>
      <c r="M70" s="1387">
        <v>5</v>
      </c>
      <c r="N70" s="1383"/>
      <c r="O70" s="1655" t="s">
        <v>3542</v>
      </c>
      <c r="P70" s="1656"/>
      <c r="Q70" s="1656"/>
      <c r="R70" s="1639">
        <v>8</v>
      </c>
      <c r="S70" s="1657"/>
      <c r="U70" s="1399" t="s">
        <v>3768</v>
      </c>
      <c r="V70" s="1396"/>
      <c r="W70" s="1396"/>
      <c r="X70" s="1653"/>
      <c r="Y70" s="1654"/>
      <c r="AA70" s="1647" t="s">
        <v>2133</v>
      </c>
      <c r="AB70" s="1648"/>
      <c r="AC70" s="1649"/>
      <c r="AD70" s="1620" t="s">
        <v>1992</v>
      </c>
      <c r="AE70" s="1621"/>
    </row>
    <row r="71" spans="2:32" ht="15" x14ac:dyDescent="0.25">
      <c r="B71" s="294"/>
      <c r="C71" s="294"/>
      <c r="E71" s="1637"/>
      <c r="F71" s="1638"/>
      <c r="G71" s="1638"/>
      <c r="H71" s="294"/>
      <c r="K71" s="1384"/>
      <c r="L71" s="1381"/>
      <c r="M71" s="1382"/>
      <c r="N71" s="1383"/>
      <c r="O71" s="1655" t="s">
        <v>3543</v>
      </c>
      <c r="P71" s="1656"/>
      <c r="Q71" s="1656"/>
      <c r="R71" s="1639">
        <v>5</v>
      </c>
      <c r="S71" s="1657"/>
      <c r="U71" s="1395" t="s">
        <v>2133</v>
      </c>
      <c r="V71" s="1396"/>
      <c r="W71" s="1396"/>
      <c r="X71" s="1653" t="s">
        <v>1992</v>
      </c>
      <c r="Y71" s="1654"/>
      <c r="AA71" s="1647" t="s">
        <v>3731</v>
      </c>
      <c r="AB71" s="1648"/>
      <c r="AC71" s="1649"/>
      <c r="AD71" s="1620">
        <v>1</v>
      </c>
      <c r="AE71" s="1621"/>
    </row>
    <row r="72" spans="2:32" ht="15" x14ac:dyDescent="0.25">
      <c r="B72" s="294"/>
      <c r="C72" s="294"/>
      <c r="E72" s="1637"/>
      <c r="F72" s="1638"/>
      <c r="G72" s="1638"/>
      <c r="H72" s="294"/>
      <c r="K72" s="1389" t="s">
        <v>3561</v>
      </c>
      <c r="L72" s="1639"/>
      <c r="M72" s="1640"/>
      <c r="N72" s="1383"/>
      <c r="O72" s="1655" t="s">
        <v>3544</v>
      </c>
      <c r="P72" s="1656"/>
      <c r="Q72" s="1656"/>
      <c r="R72" s="1639" t="s">
        <v>3545</v>
      </c>
      <c r="S72" s="1657"/>
      <c r="U72" s="1395" t="s">
        <v>3615</v>
      </c>
      <c r="V72" s="1396"/>
      <c r="W72" s="1396"/>
      <c r="X72" s="1653" t="s">
        <v>3616</v>
      </c>
      <c r="Y72" s="1654"/>
      <c r="AA72" s="1647" t="s">
        <v>3732</v>
      </c>
      <c r="AB72" s="1648"/>
      <c r="AC72" s="1649"/>
      <c r="AD72" s="1620">
        <v>0.5</v>
      </c>
      <c r="AE72" s="1621"/>
    </row>
    <row r="73" spans="2:32" ht="15" x14ac:dyDescent="0.25">
      <c r="B73" s="294"/>
      <c r="C73" s="294"/>
      <c r="E73" s="1637"/>
      <c r="F73" s="1638"/>
      <c r="G73" s="1638"/>
      <c r="H73" s="294"/>
      <c r="K73" s="1380" t="s">
        <v>2133</v>
      </c>
      <c r="L73" s="1639" t="s">
        <v>1992</v>
      </c>
      <c r="M73" s="1640"/>
      <c r="N73" s="1383"/>
      <c r="O73" s="1655" t="s">
        <v>3546</v>
      </c>
      <c r="P73" s="1656"/>
      <c r="Q73" s="1656"/>
      <c r="R73" s="1639">
        <v>100</v>
      </c>
      <c r="S73" s="1657"/>
      <c r="U73" s="1395" t="s">
        <v>3617</v>
      </c>
      <c r="V73" s="1396"/>
      <c r="W73" s="1396"/>
      <c r="X73" s="1653">
        <v>20</v>
      </c>
      <c r="Y73" s="1654"/>
      <c r="AA73" s="1647" t="s">
        <v>3733</v>
      </c>
      <c r="AB73" s="1648"/>
      <c r="AC73" s="1649"/>
      <c r="AD73" s="1620">
        <v>10</v>
      </c>
      <c r="AE73" s="1621"/>
    </row>
    <row r="74" spans="2:32" ht="15" x14ac:dyDescent="0.25">
      <c r="B74" s="294"/>
      <c r="C74" s="294"/>
      <c r="E74" s="1637"/>
      <c r="F74" s="1638"/>
      <c r="G74" s="1638"/>
      <c r="H74" s="294"/>
      <c r="K74" s="1380" t="s">
        <v>3429</v>
      </c>
      <c r="L74" s="1639">
        <v>200</v>
      </c>
      <c r="M74" s="1640"/>
      <c r="N74" s="1383"/>
      <c r="O74" s="1655" t="s">
        <v>3547</v>
      </c>
      <c r="P74" s="1656"/>
      <c r="Q74" s="1656"/>
      <c r="R74" s="1639">
        <v>100</v>
      </c>
      <c r="S74" s="1657"/>
      <c r="U74" s="1395" t="s">
        <v>3618</v>
      </c>
      <c r="V74" s="1396"/>
      <c r="W74" s="1396"/>
      <c r="X74" s="1653" t="s">
        <v>3619</v>
      </c>
      <c r="Y74" s="1654"/>
      <c r="AA74" s="1409"/>
      <c r="AB74" s="1410"/>
      <c r="AC74" s="1411"/>
      <c r="AD74" s="1620"/>
      <c r="AE74" s="1621"/>
    </row>
    <row r="75" spans="2:32" ht="15" x14ac:dyDescent="0.25">
      <c r="B75" s="294"/>
      <c r="C75" s="294"/>
      <c r="E75" s="1637"/>
      <c r="F75" s="1638"/>
      <c r="G75" s="1638"/>
      <c r="H75" s="294"/>
      <c r="K75" s="1380" t="s">
        <v>3430</v>
      </c>
      <c r="L75" s="1639">
        <v>200</v>
      </c>
      <c r="M75" s="1640"/>
      <c r="N75" s="1383"/>
      <c r="O75" s="1655" t="s">
        <v>3548</v>
      </c>
      <c r="P75" s="1656"/>
      <c r="Q75" s="1656"/>
      <c r="R75" s="1639">
        <v>60</v>
      </c>
      <c r="S75" s="1657"/>
      <c r="U75" s="1395" t="s">
        <v>3620</v>
      </c>
      <c r="V75" s="1396"/>
      <c r="W75" s="1396"/>
      <c r="X75" s="1653" t="s">
        <v>3621</v>
      </c>
      <c r="Y75" s="1654"/>
      <c r="AA75" s="1408" t="s">
        <v>3765</v>
      </c>
      <c r="AB75" s="1410"/>
      <c r="AC75" s="1411"/>
      <c r="AD75" s="1620"/>
      <c r="AE75" s="1621"/>
    </row>
    <row r="76" spans="2:32" ht="15" x14ac:dyDescent="0.25">
      <c r="B76" s="294"/>
      <c r="C76" s="294"/>
      <c r="E76" s="1637"/>
      <c r="F76" s="1638"/>
      <c r="G76" s="1638"/>
      <c r="H76" s="294"/>
      <c r="K76" s="1380" t="s">
        <v>3431</v>
      </c>
      <c r="L76" s="1639">
        <v>300</v>
      </c>
      <c r="M76" s="1640"/>
      <c r="N76" s="1383"/>
      <c r="O76" s="1655" t="s">
        <v>3549</v>
      </c>
      <c r="P76" s="1656"/>
      <c r="Q76" s="1656"/>
      <c r="R76" s="1639">
        <v>150</v>
      </c>
      <c r="S76" s="1657"/>
      <c r="U76" s="1395" t="s">
        <v>3622</v>
      </c>
      <c r="V76" s="1396"/>
      <c r="W76" s="1396"/>
      <c r="X76" s="1653" t="s">
        <v>3623</v>
      </c>
      <c r="Y76" s="1654"/>
      <c r="AA76" s="1647" t="s">
        <v>3734</v>
      </c>
      <c r="AB76" s="1648"/>
      <c r="AC76" s="1649"/>
      <c r="AD76" s="1620" t="s">
        <v>3701</v>
      </c>
      <c r="AE76" s="1621"/>
    </row>
    <row r="77" spans="2:32" ht="15" x14ac:dyDescent="0.25">
      <c r="B77" s="294"/>
      <c r="C77" s="294"/>
      <c r="E77" s="1637"/>
      <c r="F77" s="1638"/>
      <c r="G77" s="1638"/>
      <c r="H77" s="294"/>
      <c r="K77" s="1380" t="s">
        <v>3432</v>
      </c>
      <c r="L77" s="1639">
        <v>200</v>
      </c>
      <c r="M77" s="1640"/>
      <c r="N77" s="1383"/>
      <c r="O77" s="1655" t="s">
        <v>3550</v>
      </c>
      <c r="P77" s="1656"/>
      <c r="Q77" s="1656"/>
      <c r="R77" s="1639">
        <v>30</v>
      </c>
      <c r="S77" s="1657"/>
      <c r="U77" s="1395" t="s">
        <v>3624</v>
      </c>
      <c r="V77" s="1396"/>
      <c r="W77" s="1396"/>
      <c r="X77" s="1653" t="s">
        <v>3625</v>
      </c>
      <c r="Y77" s="1654"/>
      <c r="AA77" s="1647" t="s">
        <v>3735</v>
      </c>
      <c r="AB77" s="1648"/>
      <c r="AC77" s="1649"/>
      <c r="AD77" s="1620" t="s">
        <v>3736</v>
      </c>
      <c r="AE77" s="1621"/>
    </row>
    <row r="78" spans="2:32" ht="15" x14ac:dyDescent="0.25">
      <c r="B78" s="294"/>
      <c r="C78" s="294"/>
      <c r="E78" s="1637"/>
      <c r="F78" s="1638"/>
      <c r="G78" s="1638"/>
      <c r="H78" s="294"/>
      <c r="K78" s="1380" t="s">
        <v>3433</v>
      </c>
      <c r="L78" s="1639">
        <v>100</v>
      </c>
      <c r="M78" s="1640"/>
      <c r="N78" s="1383"/>
      <c r="O78" s="1655" t="s">
        <v>3551</v>
      </c>
      <c r="P78" s="1656"/>
      <c r="Q78" s="1656"/>
      <c r="R78" s="1639">
        <v>5</v>
      </c>
      <c r="S78" s="1657"/>
      <c r="U78" s="1395"/>
      <c r="V78" s="1396"/>
      <c r="W78" s="1396"/>
      <c r="X78" s="1653"/>
      <c r="Y78" s="1654"/>
      <c r="AA78" s="1647" t="s">
        <v>3737</v>
      </c>
      <c r="AB78" s="1648"/>
      <c r="AC78" s="1649"/>
      <c r="AD78" s="1620" t="s">
        <v>3725</v>
      </c>
      <c r="AE78" s="1621"/>
      <c r="AF78" s="1344"/>
    </row>
    <row r="79" spans="2:32" ht="15" x14ac:dyDescent="0.25">
      <c r="B79" s="294"/>
      <c r="C79" s="294"/>
      <c r="E79" s="1637"/>
      <c r="F79" s="1638"/>
      <c r="G79" s="1638"/>
      <c r="H79" s="294"/>
      <c r="K79" s="1380" t="s">
        <v>3434</v>
      </c>
      <c r="L79" s="1639">
        <v>100</v>
      </c>
      <c r="M79" s="1640"/>
      <c r="N79" s="1383"/>
      <c r="O79" s="1655" t="s">
        <v>3552</v>
      </c>
      <c r="P79" s="1656"/>
      <c r="Q79" s="1656"/>
      <c r="R79" s="1639" t="s">
        <v>3545</v>
      </c>
      <c r="S79" s="1657"/>
      <c r="U79" s="1399" t="s">
        <v>3564</v>
      </c>
      <c r="V79" s="1396"/>
      <c r="W79" s="1396"/>
      <c r="X79" s="1653"/>
      <c r="Y79" s="1654"/>
      <c r="AA79" s="1647" t="s">
        <v>3738</v>
      </c>
      <c r="AB79" s="1648"/>
      <c r="AC79" s="1649"/>
      <c r="AD79" s="1620" t="s">
        <v>3739</v>
      </c>
      <c r="AE79" s="1621"/>
      <c r="AF79" s="1344"/>
    </row>
    <row r="80" spans="2:32" ht="15" x14ac:dyDescent="0.25">
      <c r="B80" s="294"/>
      <c r="C80" s="294"/>
      <c r="E80" s="1637"/>
      <c r="F80" s="1638"/>
      <c r="G80" s="1638"/>
      <c r="H80" s="294"/>
      <c r="K80" s="1380" t="s">
        <v>3435</v>
      </c>
      <c r="L80" s="1639">
        <v>500</v>
      </c>
      <c r="M80" s="1640"/>
      <c r="N80" s="1383"/>
      <c r="O80" s="1655" t="s">
        <v>3553</v>
      </c>
      <c r="P80" s="1656"/>
      <c r="Q80" s="1656"/>
      <c r="R80" s="1639" t="s">
        <v>3395</v>
      </c>
      <c r="S80" s="1657"/>
      <c r="U80" s="1395" t="s">
        <v>2133</v>
      </c>
      <c r="V80" s="1396"/>
      <c r="W80" s="1396"/>
      <c r="X80" s="1653" t="s">
        <v>1992</v>
      </c>
      <c r="Y80" s="1654"/>
      <c r="AA80" s="1647" t="s">
        <v>3740</v>
      </c>
      <c r="AB80" s="1648"/>
      <c r="AC80" s="1649"/>
      <c r="AD80" s="1620" t="s">
        <v>3471</v>
      </c>
      <c r="AE80" s="1621"/>
      <c r="AF80" s="1344"/>
    </row>
    <row r="81" spans="2:32" ht="15" x14ac:dyDescent="0.25">
      <c r="B81" s="294"/>
      <c r="C81" s="294"/>
      <c r="E81" s="1637"/>
      <c r="F81" s="1638"/>
      <c r="G81" s="1638"/>
      <c r="H81" s="294"/>
      <c r="K81" s="1380" t="s">
        <v>3436</v>
      </c>
      <c r="L81" s="1639">
        <v>500</v>
      </c>
      <c r="M81" s="1640"/>
      <c r="N81" s="1383"/>
      <c r="O81" s="1655" t="s">
        <v>3554</v>
      </c>
      <c r="P81" s="1656"/>
      <c r="Q81" s="1656"/>
      <c r="R81" s="1639">
        <v>1</v>
      </c>
      <c r="S81" s="1657"/>
      <c r="U81" s="1395" t="s">
        <v>3626</v>
      </c>
      <c r="V81" s="1396"/>
      <c r="W81" s="1396"/>
      <c r="X81" s="1653">
        <v>750</v>
      </c>
      <c r="Y81" s="1654"/>
      <c r="AA81" s="1647" t="s">
        <v>3741</v>
      </c>
      <c r="AB81" s="1648"/>
      <c r="AC81" s="1649"/>
      <c r="AD81" s="1620">
        <v>1</v>
      </c>
      <c r="AE81" s="1621"/>
      <c r="AF81" s="1344"/>
    </row>
    <row r="82" spans="2:32" ht="15" x14ac:dyDescent="0.25">
      <c r="B82" s="294"/>
      <c r="C82" s="294"/>
      <c r="E82" s="1637"/>
      <c r="F82" s="1638"/>
      <c r="G82" s="1638"/>
      <c r="H82" s="294"/>
      <c r="K82" s="1385"/>
      <c r="L82" s="1639"/>
      <c r="M82" s="1640"/>
      <c r="N82" s="1383"/>
      <c r="O82" s="1655" t="s">
        <v>3555</v>
      </c>
      <c r="P82" s="1656"/>
      <c r="Q82" s="1656"/>
      <c r="R82" s="1639">
        <v>0.1</v>
      </c>
      <c r="S82" s="1657"/>
      <c r="U82" s="1395" t="s">
        <v>3627</v>
      </c>
      <c r="V82" s="1396"/>
      <c r="W82" s="1396"/>
      <c r="X82" s="1653">
        <v>350</v>
      </c>
      <c r="Y82" s="1654"/>
      <c r="AA82" s="1645" t="s">
        <v>3730</v>
      </c>
      <c r="AB82" s="1646"/>
      <c r="AC82" s="1646"/>
      <c r="AD82" s="1620"/>
      <c r="AE82" s="1621"/>
      <c r="AF82" s="1344"/>
    </row>
    <row r="83" spans="2:32" ht="15" x14ac:dyDescent="0.25">
      <c r="B83" s="294"/>
      <c r="C83" s="294"/>
      <c r="E83" s="1637"/>
      <c r="F83" s="1638"/>
      <c r="G83" s="1638"/>
      <c r="H83" s="294"/>
      <c r="K83" s="1386" t="s">
        <v>3562</v>
      </c>
      <c r="L83" s="1388"/>
      <c r="M83" s="1388"/>
      <c r="N83" s="1383"/>
      <c r="O83" s="1655" t="s">
        <v>3556</v>
      </c>
      <c r="P83" s="1656"/>
      <c r="Q83" s="1656"/>
      <c r="R83" s="1639">
        <v>5</v>
      </c>
      <c r="S83" s="1657"/>
      <c r="U83" s="1395" t="s">
        <v>3628</v>
      </c>
      <c r="V83" s="1396"/>
      <c r="W83" s="1396"/>
      <c r="X83" s="1653">
        <v>1750</v>
      </c>
      <c r="Y83" s="1654"/>
      <c r="AA83" s="1406"/>
      <c r="AB83" s="1407"/>
      <c r="AC83" s="1407"/>
      <c r="AD83" s="1620"/>
      <c r="AE83" s="1621"/>
      <c r="AF83" s="1344"/>
    </row>
    <row r="84" spans="2:32" ht="15" x14ac:dyDescent="0.25">
      <c r="B84" s="294"/>
      <c r="C84" s="294"/>
      <c r="E84" s="1637"/>
      <c r="F84" s="1638"/>
      <c r="G84" s="1638"/>
      <c r="H84" s="294"/>
      <c r="K84" s="1380" t="s">
        <v>2133</v>
      </c>
      <c r="L84" s="1639" t="s">
        <v>1992</v>
      </c>
      <c r="M84" s="1640"/>
      <c r="N84" s="1383"/>
      <c r="O84" s="1655" t="s">
        <v>3557</v>
      </c>
      <c r="P84" s="1656"/>
      <c r="Q84" s="1656"/>
      <c r="R84" s="1639">
        <v>1</v>
      </c>
      <c r="S84" s="1657"/>
      <c r="U84" s="1395" t="s">
        <v>3629</v>
      </c>
      <c r="V84" s="1396"/>
      <c r="W84" s="1396"/>
      <c r="X84" s="1653">
        <v>500</v>
      </c>
      <c r="Y84" s="1654"/>
      <c r="AA84" s="1408" t="s">
        <v>3358</v>
      </c>
      <c r="AB84" s="1407"/>
      <c r="AC84" s="1407"/>
      <c r="AD84" s="1620"/>
      <c r="AE84" s="1621"/>
    </row>
    <row r="85" spans="2:32" ht="15" x14ac:dyDescent="0.25">
      <c r="B85" s="294"/>
      <c r="C85" s="294"/>
      <c r="E85" s="1637"/>
      <c r="F85" s="1638"/>
      <c r="G85" s="1638"/>
      <c r="H85" s="294"/>
      <c r="K85" s="1380" t="s">
        <v>3437</v>
      </c>
      <c r="L85" s="1639" t="s">
        <v>3438</v>
      </c>
      <c r="M85" s="1640"/>
      <c r="N85" s="1383"/>
      <c r="O85" s="1655" t="s">
        <v>3558</v>
      </c>
      <c r="P85" s="1656"/>
      <c r="Q85" s="1656"/>
      <c r="R85" s="1639">
        <v>5</v>
      </c>
      <c r="S85" s="1657"/>
      <c r="U85" s="1395" t="s">
        <v>3630</v>
      </c>
      <c r="V85" s="1396"/>
      <c r="W85" s="1396"/>
      <c r="X85" s="1653">
        <v>1250</v>
      </c>
      <c r="Y85" s="1654"/>
      <c r="AA85" s="1647" t="s">
        <v>2133</v>
      </c>
      <c r="AB85" s="1648"/>
      <c r="AC85" s="1649"/>
      <c r="AD85" s="1620" t="s">
        <v>1992</v>
      </c>
      <c r="AE85" s="1621"/>
    </row>
    <row r="86" spans="2:32" ht="15" x14ac:dyDescent="0.25">
      <c r="B86" s="294"/>
      <c r="C86" s="294"/>
      <c r="E86" s="1637"/>
      <c r="F86" s="1638"/>
      <c r="G86" s="1638"/>
      <c r="H86" s="294"/>
      <c r="K86" s="1380" t="s">
        <v>3439</v>
      </c>
      <c r="L86" s="1639" t="s">
        <v>3438</v>
      </c>
      <c r="M86" s="1640"/>
      <c r="N86" s="1383"/>
      <c r="O86" s="1655" t="s">
        <v>3559</v>
      </c>
      <c r="P86" s="1656"/>
      <c r="Q86" s="1656"/>
      <c r="R86" s="1639">
        <v>2</v>
      </c>
      <c r="S86" s="1657"/>
      <c r="U86" s="1395" t="s">
        <v>3631</v>
      </c>
      <c r="V86" s="1396"/>
      <c r="W86" s="1396"/>
      <c r="X86" s="1653" t="s">
        <v>3445</v>
      </c>
      <c r="Y86" s="1654"/>
      <c r="AA86" s="1647" t="s">
        <v>3742</v>
      </c>
      <c r="AB86" s="1648"/>
      <c r="AC86" s="1649"/>
      <c r="AD86" s="1620">
        <v>5</v>
      </c>
      <c r="AE86" s="1621"/>
    </row>
    <row r="87" spans="2:32" ht="15" x14ac:dyDescent="0.25">
      <c r="B87" s="294"/>
      <c r="C87" s="294"/>
      <c r="E87" s="1637"/>
      <c r="F87" s="1638"/>
      <c r="G87" s="1638"/>
      <c r="H87" s="294"/>
      <c r="K87" s="1380" t="s">
        <v>3440</v>
      </c>
      <c r="L87" s="1639" t="s">
        <v>3438</v>
      </c>
      <c r="M87" s="1640"/>
      <c r="N87" s="1383"/>
      <c r="O87" s="1383"/>
      <c r="P87" s="1383"/>
      <c r="Q87" s="1383"/>
      <c r="R87" s="1383"/>
      <c r="S87" s="1390"/>
      <c r="U87" s="1395" t="s">
        <v>3632</v>
      </c>
      <c r="V87" s="1396"/>
      <c r="W87" s="1396"/>
      <c r="X87" s="1653">
        <v>2350</v>
      </c>
      <c r="Y87" s="1654"/>
      <c r="AA87" s="1647" t="s">
        <v>3743</v>
      </c>
      <c r="AB87" s="1648"/>
      <c r="AC87" s="1649"/>
      <c r="AD87" s="1620">
        <v>750</v>
      </c>
      <c r="AE87" s="1621"/>
    </row>
    <row r="88" spans="2:32" ht="15" x14ac:dyDescent="0.25">
      <c r="B88" s="294"/>
      <c r="C88" s="294"/>
      <c r="E88" s="1637"/>
      <c r="F88" s="1638"/>
      <c r="G88" s="1638"/>
      <c r="H88" s="294"/>
      <c r="K88" s="1380" t="s">
        <v>3441</v>
      </c>
      <c r="L88" s="1639" t="s">
        <v>3438</v>
      </c>
      <c r="M88" s="1640"/>
      <c r="N88" s="1383"/>
      <c r="O88" s="1383"/>
      <c r="P88" s="1383"/>
      <c r="Q88" s="1383"/>
      <c r="R88" s="1383"/>
      <c r="S88" s="1390"/>
      <c r="U88" s="1395" t="s">
        <v>3633</v>
      </c>
      <c r="V88" s="1396"/>
      <c r="W88" s="1396"/>
      <c r="X88" s="1653" t="s">
        <v>3634</v>
      </c>
      <c r="Y88" s="1654"/>
      <c r="AA88" s="1647" t="s">
        <v>3744</v>
      </c>
      <c r="AB88" s="1648"/>
      <c r="AC88" s="1649"/>
      <c r="AD88" s="1620">
        <v>300</v>
      </c>
      <c r="AE88" s="1621"/>
    </row>
    <row r="89" spans="2:32" ht="15" x14ac:dyDescent="0.25">
      <c r="B89" s="294"/>
      <c r="C89" s="294"/>
      <c r="E89" s="1637"/>
      <c r="F89" s="1638"/>
      <c r="G89" s="1638"/>
      <c r="H89" s="294"/>
      <c r="K89" s="1380" t="s">
        <v>3442</v>
      </c>
      <c r="L89" s="1639" t="s">
        <v>3443</v>
      </c>
      <c r="M89" s="1640"/>
      <c r="N89" s="1383"/>
      <c r="O89" s="1383"/>
      <c r="P89" s="1383"/>
      <c r="Q89" s="1383"/>
      <c r="R89" s="1383"/>
      <c r="S89" s="1390"/>
      <c r="U89" s="1395" t="s">
        <v>3635</v>
      </c>
      <c r="V89" s="1396"/>
      <c r="W89" s="1396"/>
      <c r="X89" s="1653">
        <v>500</v>
      </c>
      <c r="Y89" s="1654"/>
      <c r="AA89" s="1647" t="s">
        <v>3745</v>
      </c>
      <c r="AB89" s="1648"/>
      <c r="AC89" s="1649"/>
      <c r="AD89" s="1620">
        <v>500</v>
      </c>
      <c r="AE89" s="1621"/>
    </row>
    <row r="90" spans="2:32" ht="15" x14ac:dyDescent="0.25">
      <c r="B90" s="294"/>
      <c r="C90" s="294"/>
      <c r="E90" s="1637"/>
      <c r="F90" s="1638"/>
      <c r="G90" s="1638"/>
      <c r="H90" s="294"/>
      <c r="K90" s="1380" t="s">
        <v>3444</v>
      </c>
      <c r="L90" s="1639" t="s">
        <v>3445</v>
      </c>
      <c r="M90" s="1640"/>
      <c r="N90" s="1383"/>
      <c r="O90" s="1383"/>
      <c r="P90" s="1383"/>
      <c r="Q90" s="1383"/>
      <c r="R90" s="1383"/>
      <c r="S90" s="1390"/>
      <c r="U90" s="1395" t="s">
        <v>3636</v>
      </c>
      <c r="V90" s="1396"/>
      <c r="W90" s="1396"/>
      <c r="X90" s="1653" t="s">
        <v>3637</v>
      </c>
      <c r="Y90" s="1654"/>
      <c r="AA90" s="1647" t="s">
        <v>3746</v>
      </c>
      <c r="AB90" s="1648"/>
      <c r="AC90" s="1649"/>
      <c r="AD90" s="1620">
        <v>1000</v>
      </c>
      <c r="AE90" s="1621"/>
    </row>
    <row r="91" spans="2:32" ht="15" x14ac:dyDescent="0.25">
      <c r="B91" s="294"/>
      <c r="C91" s="294"/>
      <c r="E91" s="1637"/>
      <c r="F91" s="1638"/>
      <c r="G91" s="1638"/>
      <c r="H91" s="294"/>
      <c r="K91" s="1380" t="s">
        <v>3446</v>
      </c>
      <c r="L91" s="1639" t="s">
        <v>3438</v>
      </c>
      <c r="M91" s="1640"/>
      <c r="N91" s="1383"/>
      <c r="O91" s="1383"/>
      <c r="P91" s="1383"/>
      <c r="Q91" s="1383"/>
      <c r="R91" s="1383"/>
      <c r="S91" s="1390"/>
      <c r="U91" s="1395" t="s">
        <v>3638</v>
      </c>
      <c r="V91" s="1396"/>
      <c r="W91" s="1396"/>
      <c r="X91" s="1653" t="s">
        <v>3639</v>
      </c>
      <c r="Y91" s="1654"/>
      <c r="AA91" s="1647" t="s">
        <v>3747</v>
      </c>
      <c r="AB91" s="1648"/>
      <c r="AC91" s="1649"/>
      <c r="AD91" s="1620" t="s">
        <v>3748</v>
      </c>
      <c r="AE91" s="1621"/>
    </row>
    <row r="92" spans="2:32" ht="15" x14ac:dyDescent="0.25">
      <c r="B92" s="294"/>
      <c r="C92" s="294"/>
      <c r="E92" s="1637"/>
      <c r="F92" s="1638"/>
      <c r="G92" s="1638"/>
      <c r="H92" s="294"/>
      <c r="K92" s="1380" t="s">
        <v>3447</v>
      </c>
      <c r="L92" s="1639" t="s">
        <v>3448</v>
      </c>
      <c r="M92" s="1640"/>
      <c r="N92" s="1383"/>
      <c r="O92" s="1383"/>
      <c r="P92" s="1383"/>
      <c r="Q92" s="1383"/>
      <c r="R92" s="1383"/>
      <c r="S92" s="1390"/>
      <c r="U92" s="1395" t="s">
        <v>3640</v>
      </c>
      <c r="V92" s="1396"/>
      <c r="W92" s="1396"/>
      <c r="X92" s="1653" t="s">
        <v>3445</v>
      </c>
      <c r="Y92" s="1654"/>
      <c r="AA92" s="1647" t="s">
        <v>3749</v>
      </c>
      <c r="AB92" s="1648"/>
      <c r="AC92" s="1649"/>
      <c r="AD92" s="1620" t="s">
        <v>3445</v>
      </c>
      <c r="AE92" s="1621"/>
    </row>
    <row r="93" spans="2:32" ht="15" x14ac:dyDescent="0.25">
      <c r="B93" s="294"/>
      <c r="C93" s="294"/>
      <c r="E93" s="1637"/>
      <c r="F93" s="1638"/>
      <c r="G93" s="1638"/>
      <c r="H93" s="294"/>
      <c r="K93" s="1385"/>
      <c r="L93" s="1639"/>
      <c r="M93" s="1640"/>
      <c r="N93" s="1383"/>
      <c r="O93" s="1383"/>
      <c r="P93" s="1383"/>
      <c r="Q93" s="1383"/>
      <c r="R93" s="1383"/>
      <c r="S93" s="1390"/>
      <c r="U93" s="1395" t="s">
        <v>3641</v>
      </c>
      <c r="V93" s="1396"/>
      <c r="W93" s="1396"/>
      <c r="X93" s="1653" t="s">
        <v>3642</v>
      </c>
      <c r="Y93" s="1654"/>
      <c r="AA93" s="1647" t="s">
        <v>3750</v>
      </c>
      <c r="AB93" s="1648"/>
      <c r="AC93" s="1649"/>
      <c r="AD93" s="1620" t="s">
        <v>3721</v>
      </c>
      <c r="AE93" s="1621"/>
    </row>
    <row r="94" spans="2:32" ht="15" x14ac:dyDescent="0.25">
      <c r="B94" s="294"/>
      <c r="C94" s="294"/>
      <c r="E94" s="1637"/>
      <c r="F94" s="1638"/>
      <c r="G94" s="1638"/>
      <c r="H94" s="294"/>
      <c r="K94" s="1386" t="s">
        <v>3563</v>
      </c>
      <c r="L94" s="1388"/>
      <c r="M94" s="1388"/>
      <c r="N94" s="1383"/>
      <c r="O94" s="1383"/>
      <c r="P94" s="1383"/>
      <c r="Q94" s="1383"/>
      <c r="R94" s="1383"/>
      <c r="S94" s="1390"/>
      <c r="U94" s="1395" t="s">
        <v>3643</v>
      </c>
      <c r="V94" s="1396"/>
      <c r="W94" s="1396"/>
      <c r="X94" s="1653" t="s">
        <v>3644</v>
      </c>
      <c r="Y94" s="1654"/>
      <c r="AA94" s="1647" t="s">
        <v>3751</v>
      </c>
      <c r="AB94" s="1648"/>
      <c r="AC94" s="1649"/>
      <c r="AD94" s="1620" t="s">
        <v>3419</v>
      </c>
      <c r="AE94" s="1621"/>
    </row>
    <row r="95" spans="2:32" ht="15" x14ac:dyDescent="0.25">
      <c r="B95" s="294"/>
      <c r="C95" s="294"/>
      <c r="E95" s="1637"/>
      <c r="F95" s="1638"/>
      <c r="G95" s="1638"/>
      <c r="H95" s="294"/>
      <c r="K95" s="1380" t="s">
        <v>2133</v>
      </c>
      <c r="L95" s="1639" t="s">
        <v>1992</v>
      </c>
      <c r="M95" s="1640"/>
      <c r="N95" s="1383"/>
      <c r="O95" s="1383"/>
      <c r="P95" s="1383"/>
      <c r="Q95" s="1383"/>
      <c r="R95" s="1383"/>
      <c r="S95" s="1390"/>
      <c r="U95" s="1395" t="s">
        <v>3645</v>
      </c>
      <c r="V95" s="1396"/>
      <c r="W95" s="1396"/>
      <c r="X95" s="1653" t="s">
        <v>3619</v>
      </c>
      <c r="Y95" s="1654"/>
      <c r="AA95" s="1647" t="s">
        <v>3752</v>
      </c>
      <c r="AB95" s="1648"/>
      <c r="AC95" s="1649"/>
      <c r="AD95" s="1620">
        <v>0.5</v>
      </c>
      <c r="AE95" s="1621"/>
    </row>
    <row r="96" spans="2:32" ht="15" x14ac:dyDescent="0.25">
      <c r="K96" s="1380" t="s">
        <v>3449</v>
      </c>
      <c r="L96" s="1639" t="s">
        <v>3450</v>
      </c>
      <c r="M96" s="1640"/>
      <c r="N96" s="1383"/>
      <c r="O96" s="1383"/>
      <c r="P96" s="1383"/>
      <c r="Q96" s="1383"/>
      <c r="R96" s="1383"/>
      <c r="S96" s="1390"/>
      <c r="U96" s="1395" t="s">
        <v>3646</v>
      </c>
      <c r="V96" s="1396"/>
      <c r="W96" s="1396"/>
      <c r="X96" s="1653" t="s">
        <v>3647</v>
      </c>
      <c r="Y96" s="1654"/>
      <c r="AA96" s="1647" t="s">
        <v>3753</v>
      </c>
      <c r="AB96" s="1648"/>
      <c r="AC96" s="1649"/>
      <c r="AD96" s="1620">
        <v>0.75</v>
      </c>
      <c r="AE96" s="1621"/>
    </row>
    <row r="97" spans="2:31" ht="15" x14ac:dyDescent="0.25">
      <c r="K97" s="1380" t="s">
        <v>3451</v>
      </c>
      <c r="L97" s="1639" t="s">
        <v>3452</v>
      </c>
      <c r="M97" s="1640"/>
      <c r="N97" s="1383"/>
      <c r="O97" s="1383"/>
      <c r="P97" s="1383"/>
      <c r="Q97" s="1383"/>
      <c r="R97" s="1383"/>
      <c r="S97" s="1390"/>
      <c r="U97" s="1395" t="s">
        <v>3648</v>
      </c>
      <c r="V97" s="1396"/>
      <c r="W97" s="1396"/>
      <c r="X97" s="1653" t="s">
        <v>3649</v>
      </c>
      <c r="Y97" s="1654"/>
      <c r="AA97" s="1647" t="s">
        <v>3754</v>
      </c>
      <c r="AB97" s="1648"/>
      <c r="AC97" s="1649"/>
      <c r="AD97" s="1620">
        <v>0.33</v>
      </c>
      <c r="AE97" s="1621"/>
    </row>
    <row r="98" spans="2:31" ht="15" x14ac:dyDescent="0.25">
      <c r="K98" s="1380" t="s">
        <v>3453</v>
      </c>
      <c r="L98" s="1639" t="s">
        <v>3454</v>
      </c>
      <c r="M98" s="1640"/>
      <c r="N98" s="1383"/>
      <c r="O98" s="1383"/>
      <c r="P98" s="1383"/>
      <c r="Q98" s="1383"/>
      <c r="R98" s="1383"/>
      <c r="S98" s="1390"/>
      <c r="U98" s="1395" t="s">
        <v>3650</v>
      </c>
      <c r="V98" s="1396"/>
      <c r="W98" s="1396"/>
      <c r="X98" s="1653" t="s">
        <v>3651</v>
      </c>
      <c r="Y98" s="1654"/>
      <c r="AA98" s="1647" t="s">
        <v>3755</v>
      </c>
      <c r="AB98" s="1648"/>
      <c r="AC98" s="1649"/>
      <c r="AD98" s="1620">
        <v>5</v>
      </c>
      <c r="AE98" s="1621"/>
    </row>
    <row r="99" spans="2:31" ht="15" x14ac:dyDescent="0.25">
      <c r="B99" s="1629" t="s">
        <v>3914</v>
      </c>
      <c r="C99" s="1628"/>
      <c r="D99" s="1628"/>
      <c r="E99" s="1628"/>
      <c r="F99" s="1628"/>
      <c r="G99" s="1628"/>
      <c r="H99" s="1628"/>
      <c r="K99" s="1380" t="s">
        <v>3455</v>
      </c>
      <c r="L99" s="1639">
        <v>5</v>
      </c>
      <c r="M99" s="1640"/>
      <c r="N99" s="1383"/>
      <c r="O99" s="1383"/>
      <c r="P99" s="1383"/>
      <c r="Q99" s="1383"/>
      <c r="R99" s="1383"/>
      <c r="S99" s="1390"/>
      <c r="U99" s="1395" t="s">
        <v>3652</v>
      </c>
      <c r="V99" s="1396"/>
      <c r="W99" s="1396"/>
      <c r="X99" s="1653" t="s">
        <v>3653</v>
      </c>
      <c r="Y99" s="1654"/>
      <c r="AA99" s="1647" t="s">
        <v>3756</v>
      </c>
      <c r="AB99" s="1648"/>
      <c r="AC99" s="1649"/>
      <c r="AD99" s="1620">
        <v>1</v>
      </c>
      <c r="AE99" s="1621"/>
    </row>
    <row r="100" spans="2:31" ht="30" x14ac:dyDescent="0.25">
      <c r="B100" s="1628"/>
      <c r="C100" s="1628"/>
      <c r="D100" s="1628"/>
      <c r="E100" s="1628"/>
      <c r="F100" s="1628"/>
      <c r="G100" s="1628"/>
      <c r="H100" s="1628"/>
      <c r="K100" s="1380" t="s">
        <v>3456</v>
      </c>
      <c r="L100" s="1639">
        <v>2</v>
      </c>
      <c r="M100" s="1640"/>
      <c r="N100" s="1383"/>
      <c r="O100" s="1383"/>
      <c r="P100" s="1383"/>
      <c r="Q100" s="1383"/>
      <c r="R100" s="1383"/>
      <c r="S100" s="1390"/>
      <c r="U100" s="1395" t="s">
        <v>3477</v>
      </c>
      <c r="V100" s="1396"/>
      <c r="W100" s="1396"/>
      <c r="X100" s="1653">
        <v>2000</v>
      </c>
      <c r="Y100" s="1654"/>
      <c r="AA100" s="1647" t="s">
        <v>3757</v>
      </c>
      <c r="AB100" s="1648"/>
      <c r="AC100" s="1649"/>
      <c r="AD100" s="1620" t="s">
        <v>3758</v>
      </c>
      <c r="AE100" s="1621"/>
    </row>
    <row r="101" spans="2:31" ht="30" x14ac:dyDescent="0.25">
      <c r="K101" s="1380" t="s">
        <v>3457</v>
      </c>
      <c r="L101" s="1639">
        <v>50</v>
      </c>
      <c r="M101" s="1640"/>
      <c r="N101" s="1383"/>
      <c r="O101" s="1383"/>
      <c r="P101" s="1383"/>
      <c r="Q101" s="1383"/>
      <c r="R101" s="1383"/>
      <c r="S101" s="1390"/>
      <c r="U101" s="1395" t="s">
        <v>3654</v>
      </c>
      <c r="V101" s="1396"/>
      <c r="W101" s="1396"/>
      <c r="X101" s="1653" t="s">
        <v>3655</v>
      </c>
      <c r="Y101" s="1654"/>
      <c r="AA101" s="1647" t="s">
        <v>3759</v>
      </c>
      <c r="AB101" s="1648"/>
      <c r="AC101" s="1649"/>
      <c r="AD101" s="1620">
        <v>1</v>
      </c>
      <c r="AE101" s="1621"/>
    </row>
    <row r="102" spans="2:31" ht="15.75" x14ac:dyDescent="0.25">
      <c r="B102" s="958" t="s">
        <v>3775</v>
      </c>
      <c r="K102" s="1380" t="s">
        <v>3458</v>
      </c>
      <c r="L102" s="1639">
        <v>5</v>
      </c>
      <c r="M102" s="1640"/>
      <c r="N102" s="1383"/>
      <c r="O102" s="1383"/>
      <c r="P102" s="1383"/>
      <c r="Q102" s="1383"/>
      <c r="R102" s="1383"/>
      <c r="S102" s="1390"/>
      <c r="U102" s="1395" t="s">
        <v>3656</v>
      </c>
      <c r="V102" s="1396"/>
      <c r="W102" s="1396"/>
      <c r="X102" s="1653" t="s">
        <v>3657</v>
      </c>
      <c r="Y102" s="1654"/>
      <c r="AA102" s="1647" t="s">
        <v>3760</v>
      </c>
      <c r="AB102" s="1648"/>
      <c r="AC102" s="1649"/>
      <c r="AD102" s="1620">
        <v>5</v>
      </c>
      <c r="AE102" s="1621"/>
    </row>
    <row r="103" spans="2:31" ht="15" x14ac:dyDescent="0.25">
      <c r="B103" s="215"/>
      <c r="C103" s="215"/>
      <c r="D103" s="215"/>
      <c r="E103" s="215"/>
      <c r="F103" s="215"/>
      <c r="G103" s="213" t="s">
        <v>3779</v>
      </c>
      <c r="H103" s="215"/>
      <c r="K103" s="1380" t="s">
        <v>3459</v>
      </c>
      <c r="L103" s="1639">
        <v>20</v>
      </c>
      <c r="M103" s="1640"/>
      <c r="N103" s="1383"/>
      <c r="O103" s="1383"/>
      <c r="P103" s="1383"/>
      <c r="Q103" s="1383"/>
      <c r="R103" s="1383"/>
      <c r="S103" s="1390"/>
      <c r="U103" s="1395" t="s">
        <v>3658</v>
      </c>
      <c r="V103" s="1396"/>
      <c r="W103" s="1396"/>
      <c r="X103" s="1653" t="s">
        <v>3659</v>
      </c>
      <c r="Y103" s="1654"/>
      <c r="AA103" s="1647" t="s">
        <v>3761</v>
      </c>
      <c r="AB103" s="1648"/>
      <c r="AC103" s="1649"/>
      <c r="AD103" s="1620" t="s">
        <v>3762</v>
      </c>
      <c r="AE103" s="1621"/>
    </row>
    <row r="104" spans="2:31" ht="15.75" thickBot="1" x14ac:dyDescent="0.3">
      <c r="B104" s="215" t="s">
        <v>3776</v>
      </c>
      <c r="C104" s="215"/>
      <c r="D104" s="213" t="s">
        <v>2678</v>
      </c>
      <c r="E104" s="213" t="s">
        <v>2114</v>
      </c>
      <c r="F104" s="213" t="s">
        <v>2180</v>
      </c>
      <c r="G104" s="213" t="s">
        <v>3777</v>
      </c>
      <c r="H104" s="213" t="s">
        <v>3778</v>
      </c>
      <c r="K104" s="1380" t="s">
        <v>3460</v>
      </c>
      <c r="L104" s="1639">
        <v>10</v>
      </c>
      <c r="M104" s="1640"/>
      <c r="N104" s="1383"/>
      <c r="O104" s="1383"/>
      <c r="P104" s="1383"/>
      <c r="Q104" s="1383"/>
      <c r="R104" s="1383"/>
      <c r="S104" s="1390"/>
      <c r="U104" s="1395" t="s">
        <v>3660</v>
      </c>
      <c r="V104" s="1396"/>
      <c r="W104" s="1396"/>
      <c r="X104" s="1653" t="s">
        <v>3661</v>
      </c>
      <c r="Y104" s="1654"/>
      <c r="AA104" s="1650" t="s">
        <v>3730</v>
      </c>
      <c r="AB104" s="1651"/>
      <c r="AC104" s="1652"/>
      <c r="AD104" s="1622"/>
      <c r="AE104" s="1623"/>
    </row>
    <row r="105" spans="2:31" ht="15" x14ac:dyDescent="0.25">
      <c r="B105" s="1637"/>
      <c r="C105" s="1638"/>
      <c r="D105" s="294"/>
      <c r="E105" s="294"/>
      <c r="F105" s="294"/>
      <c r="G105" s="294"/>
      <c r="H105" s="294"/>
      <c r="K105" s="1385"/>
      <c r="L105" s="1639"/>
      <c r="M105" s="1640"/>
      <c r="N105" s="1383"/>
      <c r="O105" s="1383"/>
      <c r="P105" s="1383"/>
      <c r="Q105" s="1383"/>
      <c r="R105" s="1383"/>
      <c r="S105" s="1390"/>
      <c r="U105" s="1395" t="s">
        <v>3662</v>
      </c>
      <c r="V105" s="1396"/>
      <c r="W105" s="1396"/>
      <c r="X105" s="1653" t="s">
        <v>3663</v>
      </c>
      <c r="Y105" s="1654"/>
      <c r="AA105" s="226"/>
      <c r="AB105" s="226"/>
      <c r="AC105" s="226"/>
      <c r="AD105" s="226"/>
    </row>
    <row r="106" spans="2:31" ht="15" x14ac:dyDescent="0.25">
      <c r="B106" s="1637"/>
      <c r="C106" s="1638"/>
      <c r="D106" s="294"/>
      <c r="E106" s="294"/>
      <c r="F106" s="294"/>
      <c r="G106" s="294"/>
      <c r="H106" s="294"/>
      <c r="K106" s="1386" t="s">
        <v>3564</v>
      </c>
      <c r="L106" s="1388"/>
      <c r="M106" s="1388"/>
      <c r="N106" s="1383"/>
      <c r="O106" s="1383"/>
      <c r="P106" s="1383"/>
      <c r="Q106" s="1383"/>
      <c r="R106" s="1383"/>
      <c r="S106" s="1390"/>
      <c r="U106" s="1395" t="s">
        <v>3664</v>
      </c>
      <c r="V106" s="1396"/>
      <c r="W106" s="1396"/>
      <c r="X106" s="1653" t="s">
        <v>3592</v>
      </c>
      <c r="Y106" s="1654"/>
      <c r="AA106" s="226"/>
      <c r="AB106" s="226"/>
      <c r="AC106" s="226"/>
      <c r="AD106" s="226"/>
    </row>
    <row r="107" spans="2:31" ht="15" x14ac:dyDescent="0.25">
      <c r="B107" s="1637"/>
      <c r="C107" s="1638"/>
      <c r="D107" s="294"/>
      <c r="E107" s="294"/>
      <c r="F107" s="294"/>
      <c r="G107" s="294"/>
      <c r="H107" s="294"/>
      <c r="K107" s="1380" t="s">
        <v>2133</v>
      </c>
      <c r="L107" s="1639" t="s">
        <v>1992</v>
      </c>
      <c r="M107" s="1640"/>
      <c r="N107" s="1383"/>
      <c r="O107" s="1383"/>
      <c r="P107" s="1383"/>
      <c r="Q107" s="1383"/>
      <c r="R107" s="1383"/>
      <c r="S107" s="1390"/>
      <c r="U107" s="1395"/>
      <c r="V107" s="1396"/>
      <c r="W107" s="1396"/>
      <c r="X107" s="1653"/>
      <c r="Y107" s="1654"/>
      <c r="AA107" s="226"/>
      <c r="AB107" s="226"/>
      <c r="AC107" s="226"/>
      <c r="AD107" s="226"/>
    </row>
    <row r="108" spans="2:31" ht="15" x14ac:dyDescent="0.25">
      <c r="B108" s="1637"/>
      <c r="C108" s="1638"/>
      <c r="D108" s="294"/>
      <c r="E108" s="294"/>
      <c r="F108" s="294"/>
      <c r="G108" s="294"/>
      <c r="H108" s="294"/>
      <c r="K108" s="1380" t="s">
        <v>3461</v>
      </c>
      <c r="L108" s="1639">
        <v>50</v>
      </c>
      <c r="M108" s="1640"/>
      <c r="N108" s="1383"/>
      <c r="O108" s="1383"/>
      <c r="P108" s="1383"/>
      <c r="Q108" s="1383"/>
      <c r="R108" s="1383"/>
      <c r="S108" s="1390"/>
      <c r="U108" s="1399" t="s">
        <v>3769</v>
      </c>
      <c r="V108" s="1396"/>
      <c r="W108" s="1396"/>
      <c r="X108" s="1653"/>
      <c r="Y108" s="1654"/>
      <c r="AA108" s="226"/>
      <c r="AB108" s="226"/>
      <c r="AC108" s="226"/>
      <c r="AD108" s="226"/>
    </row>
    <row r="109" spans="2:31" ht="15" x14ac:dyDescent="0.25">
      <c r="B109" s="1637"/>
      <c r="C109" s="1638"/>
      <c r="D109" s="294"/>
      <c r="E109" s="294"/>
      <c r="F109" s="294"/>
      <c r="G109" s="294"/>
      <c r="H109" s="294"/>
      <c r="K109" s="1380" t="s">
        <v>3462</v>
      </c>
      <c r="L109" s="1639">
        <v>20</v>
      </c>
      <c r="M109" s="1640"/>
      <c r="N109" s="1383"/>
      <c r="O109" s="1383"/>
      <c r="P109" s="1383"/>
      <c r="Q109" s="1383"/>
      <c r="R109" s="1383"/>
      <c r="S109" s="1390"/>
      <c r="U109" s="1395" t="s">
        <v>2133</v>
      </c>
      <c r="V109" s="1396"/>
      <c r="W109" s="1396"/>
      <c r="X109" s="1653" t="s">
        <v>1992</v>
      </c>
      <c r="Y109" s="1654"/>
      <c r="AA109" s="226"/>
      <c r="AB109" s="226"/>
      <c r="AC109" s="226"/>
      <c r="AD109" s="226"/>
    </row>
    <row r="110" spans="2:31" ht="15" x14ac:dyDescent="0.25">
      <c r="B110" s="1637"/>
      <c r="C110" s="1638"/>
      <c r="D110" s="294"/>
      <c r="E110" s="294"/>
      <c r="F110" s="294"/>
      <c r="G110" s="294"/>
      <c r="H110" s="294"/>
      <c r="K110" s="1380" t="s">
        <v>3463</v>
      </c>
      <c r="L110" s="1639">
        <v>5</v>
      </c>
      <c r="M110" s="1640"/>
      <c r="N110" s="1383"/>
      <c r="O110" s="1383"/>
      <c r="P110" s="1383"/>
      <c r="Q110" s="1383"/>
      <c r="R110" s="1383"/>
      <c r="S110" s="1390"/>
      <c r="U110" s="1395" t="s">
        <v>3665</v>
      </c>
      <c r="V110" s="1396"/>
      <c r="W110" s="1396"/>
      <c r="X110" s="1653">
        <v>100</v>
      </c>
      <c r="Y110" s="1654"/>
      <c r="AA110" s="226"/>
      <c r="AB110" s="226"/>
      <c r="AC110" s="226"/>
      <c r="AD110" s="226"/>
    </row>
    <row r="111" spans="2:31" ht="15" x14ac:dyDescent="0.25">
      <c r="B111" s="1637"/>
      <c r="C111" s="1638"/>
      <c r="D111" s="294"/>
      <c r="E111" s="294"/>
      <c r="F111" s="294"/>
      <c r="G111" s="294"/>
      <c r="H111" s="294"/>
      <c r="K111" s="1380" t="s">
        <v>3464</v>
      </c>
      <c r="L111" s="1639" t="s">
        <v>3425</v>
      </c>
      <c r="M111" s="1640"/>
      <c r="N111" s="1383"/>
      <c r="O111" s="1383"/>
      <c r="P111" s="1383"/>
      <c r="Q111" s="1383"/>
      <c r="R111" s="1383"/>
      <c r="S111" s="1390"/>
      <c r="U111" s="1395" t="s">
        <v>3666</v>
      </c>
      <c r="V111" s="1396"/>
      <c r="W111" s="1396"/>
      <c r="X111" s="1653" t="s">
        <v>3598</v>
      </c>
      <c r="Y111" s="1654"/>
      <c r="AA111" s="226"/>
      <c r="AB111" s="226"/>
      <c r="AC111" s="226"/>
      <c r="AD111" s="226"/>
    </row>
    <row r="112" spans="2:31" ht="15" x14ac:dyDescent="0.25">
      <c r="B112" s="1637"/>
      <c r="C112" s="1638"/>
      <c r="D112" s="294"/>
      <c r="E112" s="294"/>
      <c r="F112" s="294"/>
      <c r="G112" s="294"/>
      <c r="H112" s="294"/>
      <c r="K112" s="1380" t="s">
        <v>3465</v>
      </c>
      <c r="L112" s="1639">
        <v>100</v>
      </c>
      <c r="M112" s="1640"/>
      <c r="N112" s="1383"/>
      <c r="O112" s="1383"/>
      <c r="P112" s="1383"/>
      <c r="Q112" s="1383"/>
      <c r="R112" s="1383"/>
      <c r="S112" s="1390"/>
      <c r="U112" s="1395" t="s">
        <v>3667</v>
      </c>
      <c r="V112" s="1396"/>
      <c r="W112" s="1396"/>
      <c r="X112" s="1653">
        <v>5</v>
      </c>
      <c r="Y112" s="1654"/>
      <c r="AA112" s="226"/>
      <c r="AB112" s="226"/>
      <c r="AC112" s="226"/>
      <c r="AD112" s="226"/>
    </row>
    <row r="113" spans="2:30" ht="15" x14ac:dyDescent="0.25">
      <c r="B113" s="1637"/>
      <c r="C113" s="1638"/>
      <c r="D113" s="294"/>
      <c r="E113" s="294"/>
      <c r="F113" s="294"/>
      <c r="G113" s="294"/>
      <c r="H113" s="294"/>
      <c r="K113" s="1380" t="s">
        <v>3466</v>
      </c>
      <c r="L113" s="1639">
        <v>15</v>
      </c>
      <c r="M113" s="1640"/>
      <c r="N113" s="1383"/>
      <c r="O113" s="1383"/>
      <c r="P113" s="1383"/>
      <c r="Q113" s="1383"/>
      <c r="R113" s="1383"/>
      <c r="S113" s="1390"/>
      <c r="U113" s="1395" t="s">
        <v>3668</v>
      </c>
      <c r="V113" s="1396"/>
      <c r="W113" s="1396"/>
      <c r="X113" s="1653">
        <v>250</v>
      </c>
      <c r="Y113" s="1654"/>
      <c r="AA113" s="226"/>
      <c r="AB113" s="226"/>
      <c r="AC113" s="226"/>
      <c r="AD113" s="226"/>
    </row>
    <row r="114" spans="2:30" ht="15" x14ac:dyDescent="0.25">
      <c r="B114" s="1637"/>
      <c r="C114" s="1638"/>
      <c r="D114" s="294"/>
      <c r="E114" s="294"/>
      <c r="F114" s="294"/>
      <c r="G114" s="294"/>
      <c r="H114" s="294"/>
      <c r="K114" s="1380" t="s">
        <v>3467</v>
      </c>
      <c r="L114" s="1639">
        <v>1</v>
      </c>
      <c r="M114" s="1640"/>
      <c r="N114" s="1383"/>
      <c r="O114" s="1383"/>
      <c r="P114" s="1383"/>
      <c r="Q114" s="1383"/>
      <c r="R114" s="1383"/>
      <c r="S114" s="1390"/>
      <c r="U114" s="1395" t="s">
        <v>3669</v>
      </c>
      <c r="V114" s="1396"/>
      <c r="W114" s="1396"/>
      <c r="X114" s="1653">
        <v>10</v>
      </c>
      <c r="Y114" s="1654"/>
      <c r="AA114" s="226"/>
      <c r="AB114" s="226"/>
      <c r="AC114" s="226"/>
      <c r="AD114" s="226"/>
    </row>
    <row r="115" spans="2:30" ht="15" x14ac:dyDescent="0.25">
      <c r="K115" s="1380" t="s">
        <v>3468</v>
      </c>
      <c r="L115" s="1639" t="s">
        <v>3469</v>
      </c>
      <c r="M115" s="1640"/>
      <c r="N115" s="1383"/>
      <c r="O115" s="1383"/>
      <c r="P115" s="1383"/>
      <c r="Q115" s="1383"/>
      <c r="R115" s="1383"/>
      <c r="S115" s="1390"/>
      <c r="U115" s="1395" t="s">
        <v>3670</v>
      </c>
      <c r="V115" s="1396"/>
      <c r="W115" s="1396"/>
      <c r="X115" s="1653">
        <v>300</v>
      </c>
      <c r="Y115" s="1654"/>
      <c r="AA115" s="226"/>
      <c r="AB115" s="226"/>
      <c r="AC115" s="226"/>
      <c r="AD115" s="226"/>
    </row>
    <row r="116" spans="2:30" ht="15" x14ac:dyDescent="0.25">
      <c r="B116" s="1629" t="s">
        <v>3915</v>
      </c>
      <c r="C116" s="1628"/>
      <c r="D116" s="1628"/>
      <c r="E116" s="1628"/>
      <c r="F116" s="1628"/>
      <c r="G116" s="1628"/>
      <c r="H116" s="1628"/>
      <c r="K116" s="1380" t="s">
        <v>3470</v>
      </c>
      <c r="L116" s="1639" t="s">
        <v>3471</v>
      </c>
      <c r="M116" s="1640"/>
      <c r="N116" s="1383"/>
      <c r="O116" s="1383"/>
      <c r="P116" s="1383"/>
      <c r="Q116" s="1383"/>
      <c r="R116" s="1383"/>
      <c r="S116" s="1390"/>
      <c r="U116" s="1395" t="s">
        <v>3671</v>
      </c>
      <c r="V116" s="1396"/>
      <c r="W116" s="1396"/>
      <c r="X116" s="1653">
        <v>150</v>
      </c>
      <c r="Y116" s="1654"/>
      <c r="AA116" s="226"/>
      <c r="AB116" s="226"/>
      <c r="AC116" s="226"/>
      <c r="AD116" s="226"/>
    </row>
    <row r="117" spans="2:30" ht="15" x14ac:dyDescent="0.25">
      <c r="B117" s="1628"/>
      <c r="C117" s="1628"/>
      <c r="D117" s="1628"/>
      <c r="E117" s="1628"/>
      <c r="F117" s="1628"/>
      <c r="G117" s="1628"/>
      <c r="H117" s="1628"/>
      <c r="K117" s="1380" t="s">
        <v>3472</v>
      </c>
      <c r="L117" s="1639">
        <v>2</v>
      </c>
      <c r="M117" s="1640"/>
      <c r="N117" s="1383"/>
      <c r="O117" s="1383"/>
      <c r="P117" s="1383"/>
      <c r="Q117" s="1383"/>
      <c r="R117" s="1383"/>
      <c r="S117" s="1390"/>
      <c r="U117" s="1395"/>
      <c r="V117" s="1396"/>
      <c r="W117" s="1396"/>
      <c r="X117" s="1653"/>
      <c r="Y117" s="1654"/>
      <c r="AA117" s="226"/>
      <c r="AB117" s="226"/>
      <c r="AC117" s="226"/>
      <c r="AD117" s="226"/>
    </row>
    <row r="118" spans="2:30" ht="15" x14ac:dyDescent="0.25">
      <c r="K118" s="1380" t="s">
        <v>3473</v>
      </c>
      <c r="L118" s="1639">
        <v>5</v>
      </c>
      <c r="M118" s="1640"/>
      <c r="N118" s="1383"/>
      <c r="O118" s="1383"/>
      <c r="P118" s="1383"/>
      <c r="Q118" s="1383"/>
      <c r="R118" s="1383"/>
      <c r="S118" s="1390"/>
      <c r="U118" s="1399" t="s">
        <v>3770</v>
      </c>
      <c r="V118" s="1396"/>
      <c r="W118" s="1396"/>
      <c r="X118" s="1653"/>
      <c r="Y118" s="1654"/>
      <c r="AA118" s="226"/>
      <c r="AB118" s="226"/>
      <c r="AC118" s="226"/>
      <c r="AD118" s="226"/>
    </row>
    <row r="119" spans="2:30" ht="15" x14ac:dyDescent="0.25">
      <c r="K119" s="1380" t="s">
        <v>3474</v>
      </c>
      <c r="L119" s="1639">
        <v>300</v>
      </c>
      <c r="M119" s="1640"/>
      <c r="N119" s="1383"/>
      <c r="O119" s="1383"/>
      <c r="P119" s="1383"/>
      <c r="Q119" s="1383"/>
      <c r="R119" s="1383"/>
      <c r="S119" s="1390"/>
      <c r="U119" s="1395" t="s">
        <v>2133</v>
      </c>
      <c r="V119" s="1396"/>
      <c r="W119" s="1396"/>
      <c r="X119" s="1653" t="s">
        <v>1992</v>
      </c>
      <c r="Y119" s="1654"/>
      <c r="AA119" s="226"/>
      <c r="AB119" s="226"/>
      <c r="AC119" s="226"/>
      <c r="AD119" s="226"/>
    </row>
    <row r="120" spans="2:30" ht="15" x14ac:dyDescent="0.25">
      <c r="K120" s="1380" t="s">
        <v>3475</v>
      </c>
      <c r="L120" s="1639">
        <v>25</v>
      </c>
      <c r="M120" s="1640"/>
      <c r="N120" s="1383"/>
      <c r="O120" s="1383"/>
      <c r="P120" s="1383"/>
      <c r="Q120" s="1383"/>
      <c r="R120" s="1383"/>
      <c r="S120" s="1390"/>
      <c r="U120" s="1395" t="s">
        <v>3672</v>
      </c>
      <c r="V120" s="1396"/>
      <c r="W120" s="1396"/>
      <c r="X120" s="1653">
        <v>20</v>
      </c>
      <c r="Y120" s="1654"/>
      <c r="AA120" s="226"/>
      <c r="AB120" s="226"/>
      <c r="AC120" s="226"/>
      <c r="AD120" s="226"/>
    </row>
    <row r="121" spans="2:30" ht="15" x14ac:dyDescent="0.25">
      <c r="K121" s="1380" t="s">
        <v>3476</v>
      </c>
      <c r="L121" s="1639">
        <v>25</v>
      </c>
      <c r="M121" s="1640"/>
      <c r="N121" s="1383"/>
      <c r="O121" s="1383"/>
      <c r="P121" s="1383"/>
      <c r="Q121" s="1383"/>
      <c r="R121" s="1383"/>
      <c r="S121" s="1390"/>
      <c r="U121" s="1395" t="s">
        <v>3673</v>
      </c>
      <c r="V121" s="1396"/>
      <c r="W121" s="1396"/>
      <c r="X121" s="1653" t="s">
        <v>3674</v>
      </c>
      <c r="Y121" s="1654"/>
      <c r="AA121" s="226"/>
      <c r="AB121" s="226"/>
      <c r="AC121" s="226"/>
      <c r="AD121" s="226"/>
    </row>
    <row r="122" spans="2:30" ht="15" x14ac:dyDescent="0.25">
      <c r="K122" s="1380" t="s">
        <v>3477</v>
      </c>
      <c r="L122" s="1639">
        <v>250</v>
      </c>
      <c r="M122" s="1640"/>
      <c r="N122" s="1383"/>
      <c r="O122" s="1383"/>
      <c r="P122" s="1383"/>
      <c r="Q122" s="1383"/>
      <c r="R122" s="1383"/>
      <c r="S122" s="1390"/>
      <c r="U122" s="1395" t="s">
        <v>3675</v>
      </c>
      <c r="V122" s="1396"/>
      <c r="W122" s="1396"/>
      <c r="X122" s="1653">
        <v>300</v>
      </c>
      <c r="Y122" s="1654"/>
      <c r="AA122" s="226"/>
      <c r="AB122" s="226"/>
      <c r="AC122" s="226"/>
      <c r="AD122" s="226"/>
    </row>
    <row r="123" spans="2:30" ht="15" x14ac:dyDescent="0.25">
      <c r="K123" s="1380" t="s">
        <v>3478</v>
      </c>
      <c r="L123" s="1639" t="s">
        <v>3395</v>
      </c>
      <c r="M123" s="1640"/>
      <c r="N123" s="1383"/>
      <c r="O123" s="1383"/>
      <c r="P123" s="1383"/>
      <c r="Q123" s="1383"/>
      <c r="R123" s="1383"/>
      <c r="S123" s="1390"/>
      <c r="U123" s="1395" t="s">
        <v>3676</v>
      </c>
      <c r="V123" s="1396"/>
      <c r="W123" s="1396"/>
      <c r="X123" s="1653">
        <v>30</v>
      </c>
      <c r="Y123" s="1654"/>
      <c r="AA123" s="226"/>
      <c r="AB123" s="226"/>
      <c r="AC123" s="226"/>
      <c r="AD123" s="226"/>
    </row>
    <row r="124" spans="2:30" ht="15" x14ac:dyDescent="0.25">
      <c r="K124" s="1380" t="s">
        <v>3479</v>
      </c>
      <c r="L124" s="1639">
        <v>10</v>
      </c>
      <c r="M124" s="1640"/>
      <c r="N124" s="1383"/>
      <c r="O124" s="1383"/>
      <c r="P124" s="1383"/>
      <c r="Q124" s="1383"/>
      <c r="R124" s="1383"/>
      <c r="S124" s="1390"/>
      <c r="U124" s="1395" t="s">
        <v>3677</v>
      </c>
      <c r="V124" s="1396"/>
      <c r="W124" s="1396"/>
      <c r="X124" s="1653">
        <v>50</v>
      </c>
      <c r="Y124" s="1654"/>
      <c r="AA124" s="226"/>
      <c r="AB124" s="226"/>
      <c r="AC124" s="226"/>
      <c r="AD124" s="226"/>
    </row>
    <row r="125" spans="2:30" ht="15" x14ac:dyDescent="0.25">
      <c r="K125" s="1380" t="s">
        <v>3480</v>
      </c>
      <c r="L125" s="1639">
        <v>3</v>
      </c>
      <c r="M125" s="1640"/>
      <c r="N125" s="1383"/>
      <c r="O125" s="1383"/>
      <c r="P125" s="1383"/>
      <c r="Q125" s="1383"/>
      <c r="R125" s="1383"/>
      <c r="S125" s="1390"/>
      <c r="U125" s="1395" t="s">
        <v>3678</v>
      </c>
      <c r="V125" s="1396"/>
      <c r="W125" s="1396"/>
      <c r="X125" s="1653" t="s">
        <v>3679</v>
      </c>
      <c r="Y125" s="1654"/>
      <c r="AA125" s="226"/>
      <c r="AB125" s="226"/>
      <c r="AC125" s="226"/>
      <c r="AD125" s="226"/>
    </row>
    <row r="126" spans="2:30" ht="15" x14ac:dyDescent="0.25">
      <c r="K126" s="1380" t="s">
        <v>3481</v>
      </c>
      <c r="L126" s="1639">
        <v>4</v>
      </c>
      <c r="M126" s="1640"/>
      <c r="N126" s="1383"/>
      <c r="O126" s="1383"/>
      <c r="P126" s="1383"/>
      <c r="Q126" s="1383"/>
      <c r="R126" s="1383"/>
      <c r="S126" s="1390"/>
      <c r="U126" s="1395" t="s">
        <v>3680</v>
      </c>
      <c r="V126" s="1396"/>
      <c r="W126" s="1396"/>
      <c r="X126" s="1653" t="s">
        <v>3681</v>
      </c>
      <c r="Y126" s="1654"/>
      <c r="AA126" s="226"/>
      <c r="AB126" s="226"/>
      <c r="AC126" s="226"/>
      <c r="AD126" s="226"/>
    </row>
    <row r="127" spans="2:30" ht="15" x14ac:dyDescent="0.25">
      <c r="K127" s="1380" t="s">
        <v>3482</v>
      </c>
      <c r="L127" s="1639">
        <v>15</v>
      </c>
      <c r="M127" s="1640"/>
      <c r="N127" s="1383"/>
      <c r="O127" s="1383"/>
      <c r="P127" s="1383"/>
      <c r="Q127" s="1383"/>
      <c r="R127" s="1383"/>
      <c r="S127" s="1390"/>
      <c r="U127" s="1395" t="s">
        <v>3682</v>
      </c>
      <c r="V127" s="1396"/>
      <c r="W127" s="1396"/>
      <c r="X127" s="1653">
        <v>100</v>
      </c>
      <c r="Y127" s="1654"/>
      <c r="AA127" s="226"/>
      <c r="AB127" s="226"/>
      <c r="AC127" s="226"/>
      <c r="AD127" s="226"/>
    </row>
    <row r="128" spans="2:30" ht="15" x14ac:dyDescent="0.25">
      <c r="K128" s="1380" t="s">
        <v>3483</v>
      </c>
      <c r="L128" s="1639">
        <v>200</v>
      </c>
      <c r="M128" s="1640"/>
      <c r="N128" s="1383"/>
      <c r="O128" s="1383"/>
      <c r="P128" s="1383"/>
      <c r="Q128" s="1383"/>
      <c r="R128" s="1383"/>
      <c r="S128" s="1390"/>
      <c r="U128" s="1395" t="s">
        <v>3683</v>
      </c>
      <c r="V128" s="1396"/>
      <c r="W128" s="1396"/>
      <c r="X128" s="1653">
        <v>250</v>
      </c>
      <c r="Y128" s="1654"/>
      <c r="AA128" s="226"/>
      <c r="AB128" s="226"/>
      <c r="AC128" s="226"/>
      <c r="AD128" s="226"/>
    </row>
    <row r="129" spans="11:26" ht="15" x14ac:dyDescent="0.25">
      <c r="K129" s="1384"/>
      <c r="L129" s="1639"/>
      <c r="M129" s="1640"/>
      <c r="N129" s="1383"/>
      <c r="O129" s="1383"/>
      <c r="P129" s="1383"/>
      <c r="Q129" s="1383"/>
      <c r="R129" s="1383"/>
      <c r="S129" s="1390"/>
      <c r="U129" s="1395" t="s">
        <v>3684</v>
      </c>
      <c r="V129" s="1396"/>
      <c r="W129" s="1396"/>
      <c r="X129" s="1653">
        <v>75</v>
      </c>
      <c r="Y129" s="1654"/>
    </row>
    <row r="130" spans="11:26" ht="15.75" thickBot="1" x14ac:dyDescent="0.3">
      <c r="K130" s="1391"/>
      <c r="L130" s="1660"/>
      <c r="M130" s="1661"/>
      <c r="N130" s="1392"/>
      <c r="O130" s="1392"/>
      <c r="P130" s="1392"/>
      <c r="Q130" s="1392"/>
      <c r="R130" s="1392"/>
      <c r="S130" s="1393"/>
      <c r="U130" s="1400"/>
      <c r="V130" s="1401"/>
      <c r="W130" s="1401"/>
      <c r="X130" s="1402"/>
      <c r="Y130" s="1403"/>
    </row>
    <row r="134" spans="11:26" ht="15" x14ac:dyDescent="0.2">
      <c r="K134" s="337" t="s">
        <v>3780</v>
      </c>
      <c r="Q134" s="337" t="s">
        <v>3903</v>
      </c>
    </row>
    <row r="135" spans="11:26" x14ac:dyDescent="0.2">
      <c r="K135" s="1416" t="s">
        <v>3781</v>
      </c>
      <c r="L135" s="1630" t="s">
        <v>3782</v>
      </c>
      <c r="M135" s="1631"/>
      <c r="N135" s="1414" t="s">
        <v>3783</v>
      </c>
      <c r="O135" s="1415"/>
      <c r="Q135" s="1634" t="s">
        <v>3859</v>
      </c>
      <c r="R135" s="1635"/>
      <c r="S135" s="1630" t="s">
        <v>3860</v>
      </c>
      <c r="T135" s="1631"/>
      <c r="U135" s="1631"/>
      <c r="V135" s="1630" t="s">
        <v>3844</v>
      </c>
      <c r="W135" s="1631"/>
      <c r="X135" s="1416" t="s">
        <v>2180</v>
      </c>
      <c r="Y135" s="1416" t="s">
        <v>3777</v>
      </c>
      <c r="Z135" s="1416" t="s">
        <v>3778</v>
      </c>
    </row>
    <row r="136" spans="11:26" x14ac:dyDescent="0.2">
      <c r="K136" s="1412" t="s">
        <v>3784</v>
      </c>
      <c r="L136" s="1626" t="s">
        <v>3785</v>
      </c>
      <c r="M136" s="1459"/>
      <c r="N136" s="1626" t="s">
        <v>3786</v>
      </c>
      <c r="O136" s="1459"/>
      <c r="Q136" s="1632" t="s">
        <v>3861</v>
      </c>
      <c r="R136" s="1633"/>
      <c r="S136" s="1626" t="s">
        <v>3862</v>
      </c>
      <c r="T136" s="1459"/>
      <c r="U136" s="1518"/>
      <c r="V136" s="1626" t="s">
        <v>3863</v>
      </c>
      <c r="W136" s="1459"/>
      <c r="X136" s="1413">
        <v>6</v>
      </c>
      <c r="Y136" s="1413">
        <v>3</v>
      </c>
      <c r="Z136" s="1413">
        <v>9</v>
      </c>
    </row>
    <row r="137" spans="11:26" x14ac:dyDescent="0.2">
      <c r="K137" s="1412" t="s">
        <v>3787</v>
      </c>
      <c r="L137" s="1626" t="s">
        <v>3788</v>
      </c>
      <c r="M137" s="1459"/>
      <c r="N137" s="1626" t="s">
        <v>3789</v>
      </c>
      <c r="O137" s="1459"/>
      <c r="Q137" s="1632" t="s">
        <v>3864</v>
      </c>
      <c r="R137" s="1633"/>
      <c r="S137" s="1626" t="s">
        <v>3865</v>
      </c>
      <c r="T137" s="1459"/>
      <c r="U137" s="1518"/>
      <c r="V137" s="1626" t="s">
        <v>3866</v>
      </c>
      <c r="W137" s="1459"/>
      <c r="X137" s="1413">
        <v>8</v>
      </c>
      <c r="Y137" s="1413">
        <v>4</v>
      </c>
      <c r="Z137" s="1413">
        <v>12</v>
      </c>
    </row>
    <row r="138" spans="11:26" x14ac:dyDescent="0.2">
      <c r="K138" s="1412" t="s">
        <v>3790</v>
      </c>
      <c r="L138" s="1626" t="s">
        <v>3791</v>
      </c>
      <c r="M138" s="1459"/>
      <c r="N138" s="1626" t="s">
        <v>3792</v>
      </c>
      <c r="O138" s="1459"/>
      <c r="Q138" s="1632" t="s">
        <v>3867</v>
      </c>
      <c r="R138" s="1633"/>
      <c r="S138" s="1626" t="s">
        <v>3868</v>
      </c>
      <c r="T138" s="1459"/>
      <c r="U138" s="1518"/>
      <c r="V138" s="1626" t="s">
        <v>3869</v>
      </c>
      <c r="W138" s="1459"/>
      <c r="X138" s="1413">
        <v>9</v>
      </c>
      <c r="Y138" s="1413">
        <v>6</v>
      </c>
      <c r="Z138" s="1413">
        <v>15</v>
      </c>
    </row>
    <row r="139" spans="11:26" x14ac:dyDescent="0.2">
      <c r="K139" s="1412" t="s">
        <v>3793</v>
      </c>
      <c r="L139" s="1626" t="s">
        <v>3794</v>
      </c>
      <c r="M139" s="1459"/>
      <c r="N139" s="1626" t="s">
        <v>3795</v>
      </c>
      <c r="O139" s="1459"/>
      <c r="Q139" s="1632" t="s">
        <v>3870</v>
      </c>
      <c r="R139" s="1633"/>
      <c r="S139" s="1626" t="s">
        <v>3871</v>
      </c>
      <c r="T139" s="1459"/>
      <c r="U139" s="1518"/>
      <c r="V139" s="1626" t="s">
        <v>3872</v>
      </c>
      <c r="W139" s="1459"/>
      <c r="X139" s="1413">
        <v>12</v>
      </c>
      <c r="Y139" s="1413">
        <v>6</v>
      </c>
      <c r="Z139" s="1413">
        <v>18</v>
      </c>
    </row>
    <row r="140" spans="11:26" x14ac:dyDescent="0.2">
      <c r="K140" s="1412" t="s">
        <v>3796</v>
      </c>
      <c r="L140" s="1626" t="s">
        <v>3797</v>
      </c>
      <c r="M140" s="1459"/>
      <c r="N140" s="1626" t="s">
        <v>3798</v>
      </c>
      <c r="O140" s="1459"/>
      <c r="Q140" s="1632" t="s">
        <v>3873</v>
      </c>
      <c r="R140" s="1633"/>
      <c r="S140" s="1626" t="s">
        <v>3874</v>
      </c>
      <c r="T140" s="1459"/>
      <c r="U140" s="1518"/>
      <c r="V140" s="1626" t="s">
        <v>3875</v>
      </c>
      <c r="W140" s="1459"/>
      <c r="X140" s="1413">
        <v>15</v>
      </c>
      <c r="Y140" s="1413">
        <v>9</v>
      </c>
      <c r="Z140" s="1413">
        <v>21</v>
      </c>
    </row>
    <row r="141" spans="11:26" x14ac:dyDescent="0.2">
      <c r="K141" s="1412" t="s">
        <v>3799</v>
      </c>
      <c r="L141" s="1626" t="s">
        <v>3800</v>
      </c>
      <c r="M141" s="1459"/>
      <c r="N141" s="1626" t="s">
        <v>3801</v>
      </c>
      <c r="O141" s="1459"/>
      <c r="Q141" s="1632" t="s">
        <v>3876</v>
      </c>
      <c r="R141" s="1633"/>
      <c r="S141" s="1626" t="s">
        <v>3877</v>
      </c>
      <c r="T141" s="1459"/>
      <c r="U141" s="1518"/>
      <c r="V141" s="1626" t="s">
        <v>3878</v>
      </c>
      <c r="W141" s="1459"/>
      <c r="X141" s="1413" t="s">
        <v>3879</v>
      </c>
      <c r="Y141" s="1413" t="s">
        <v>3880</v>
      </c>
      <c r="Z141" s="1413" t="s">
        <v>3881</v>
      </c>
    </row>
    <row r="142" spans="11:26" x14ac:dyDescent="0.2">
      <c r="K142" s="1412" t="s">
        <v>3802</v>
      </c>
      <c r="L142" s="1626" t="s">
        <v>3803</v>
      </c>
      <c r="M142" s="1459"/>
      <c r="N142" s="1626" t="s">
        <v>3804</v>
      </c>
      <c r="O142" s="1459"/>
      <c r="Q142" s="1632" t="s">
        <v>3882</v>
      </c>
      <c r="R142" s="1633"/>
      <c r="S142" s="1626" t="s">
        <v>3883</v>
      </c>
      <c r="T142" s="1459"/>
      <c r="U142" s="1518"/>
      <c r="V142" s="1626" t="s">
        <v>3884</v>
      </c>
      <c r="W142" s="1459"/>
      <c r="X142" s="1413" t="s">
        <v>3879</v>
      </c>
      <c r="Y142" s="1413" t="s">
        <v>3880</v>
      </c>
      <c r="Z142" s="1413" t="s">
        <v>3881</v>
      </c>
    </row>
    <row r="143" spans="11:26" x14ac:dyDescent="0.2">
      <c r="K143" s="1412" t="s">
        <v>3805</v>
      </c>
      <c r="L143" s="1626" t="s">
        <v>3806</v>
      </c>
      <c r="M143" s="1459"/>
      <c r="N143" s="1626" t="s">
        <v>3807</v>
      </c>
      <c r="O143" s="1459"/>
      <c r="Q143" s="1632" t="s">
        <v>3885</v>
      </c>
      <c r="R143" s="1633"/>
      <c r="S143" s="1626" t="s">
        <v>3886</v>
      </c>
      <c r="T143" s="1459"/>
      <c r="U143" s="1518"/>
      <c r="V143" s="1626" t="s">
        <v>3887</v>
      </c>
      <c r="W143" s="1459"/>
      <c r="X143" s="1413" t="s">
        <v>3888</v>
      </c>
      <c r="Y143" s="1413" t="s">
        <v>3889</v>
      </c>
      <c r="Z143" s="1413" t="s">
        <v>3890</v>
      </c>
    </row>
    <row r="144" spans="11:26" x14ac:dyDescent="0.2">
      <c r="K144" s="1412" t="s">
        <v>3808</v>
      </c>
      <c r="L144" s="1626" t="s">
        <v>3809</v>
      </c>
      <c r="M144" s="1459"/>
      <c r="N144" s="1626" t="s">
        <v>3810</v>
      </c>
      <c r="O144" s="1459"/>
      <c r="Q144" s="1632" t="s">
        <v>3891</v>
      </c>
      <c r="R144" s="1633"/>
      <c r="S144" s="1626" t="s">
        <v>3892</v>
      </c>
      <c r="T144" s="1459"/>
      <c r="U144" s="1518"/>
      <c r="V144" s="1626" t="s">
        <v>3893</v>
      </c>
      <c r="W144" s="1459"/>
      <c r="X144" s="1413" t="s">
        <v>3879</v>
      </c>
      <c r="Y144" s="1413" t="s">
        <v>3880</v>
      </c>
      <c r="Z144" s="1413" t="s">
        <v>3881</v>
      </c>
    </row>
    <row r="145" spans="11:26" x14ac:dyDescent="0.2">
      <c r="K145" s="1412" t="s">
        <v>3811</v>
      </c>
      <c r="L145" s="1626" t="s">
        <v>3812</v>
      </c>
      <c r="M145" s="1459"/>
      <c r="N145" s="1626" t="s">
        <v>3813</v>
      </c>
      <c r="O145" s="1459"/>
      <c r="Q145" s="1632" t="s">
        <v>3894</v>
      </c>
      <c r="R145" s="1633"/>
      <c r="S145" s="1626" t="s">
        <v>3895</v>
      </c>
      <c r="T145" s="1459"/>
      <c r="U145" s="1518"/>
      <c r="V145" s="1626" t="s">
        <v>3896</v>
      </c>
      <c r="W145" s="1459"/>
      <c r="X145" s="1413" t="s">
        <v>3879</v>
      </c>
      <c r="Y145" s="1413" t="s">
        <v>3880</v>
      </c>
      <c r="Z145" s="1413" t="s">
        <v>3881</v>
      </c>
    </row>
    <row r="146" spans="11:26" x14ac:dyDescent="0.2">
      <c r="K146" s="1412" t="s">
        <v>3814</v>
      </c>
      <c r="L146" s="1626" t="s">
        <v>3815</v>
      </c>
      <c r="M146" s="1459"/>
      <c r="N146" s="1626" t="s">
        <v>3816</v>
      </c>
      <c r="O146" s="1459"/>
      <c r="Q146" s="1632" t="s">
        <v>3897</v>
      </c>
      <c r="R146" s="1633"/>
      <c r="S146" s="1626" t="s">
        <v>3898</v>
      </c>
      <c r="T146" s="1459"/>
      <c r="U146" s="1518"/>
      <c r="V146" s="1626" t="s">
        <v>3899</v>
      </c>
      <c r="W146" s="1459"/>
      <c r="X146" s="1413" t="s">
        <v>3900</v>
      </c>
      <c r="Y146" s="1413" t="s">
        <v>3901</v>
      </c>
      <c r="Z146" s="1413" t="s">
        <v>3902</v>
      </c>
    </row>
    <row r="147" spans="11:26" x14ac:dyDescent="0.2">
      <c r="K147" s="1412" t="s">
        <v>3817</v>
      </c>
      <c r="L147" s="1626" t="s">
        <v>3818</v>
      </c>
      <c r="M147" s="1459"/>
      <c r="N147" s="1626" t="s">
        <v>3819</v>
      </c>
      <c r="O147" s="1459"/>
    </row>
    <row r="148" spans="11:26" x14ac:dyDescent="0.2">
      <c r="K148" s="1412" t="s">
        <v>3820</v>
      </c>
      <c r="L148" s="1626" t="s">
        <v>3821</v>
      </c>
      <c r="M148" s="1459"/>
      <c r="N148" s="1626" t="s">
        <v>3822</v>
      </c>
      <c r="O148" s="1459"/>
      <c r="Q148" s="226" t="s">
        <v>3905</v>
      </c>
    </row>
    <row r="149" spans="11:26" x14ac:dyDescent="0.2">
      <c r="K149" s="1412" t="s">
        <v>3823</v>
      </c>
      <c r="L149" s="1626" t="s">
        <v>3803</v>
      </c>
      <c r="M149" s="1459"/>
      <c r="N149" s="1626" t="s">
        <v>3824</v>
      </c>
      <c r="O149" s="1459"/>
      <c r="Q149" s="226" t="s">
        <v>3906</v>
      </c>
    </row>
    <row r="150" spans="11:26" x14ac:dyDescent="0.2">
      <c r="K150" s="1412" t="s">
        <v>3825</v>
      </c>
      <c r="L150" s="1626" t="s">
        <v>3826</v>
      </c>
      <c r="M150" s="1459"/>
      <c r="N150" s="1626" t="s">
        <v>3827</v>
      </c>
      <c r="O150" s="1459"/>
      <c r="Q150" s="226" t="s">
        <v>3907</v>
      </c>
    </row>
    <row r="151" spans="11:26" x14ac:dyDescent="0.2">
      <c r="K151" s="1412" t="s">
        <v>3828</v>
      </c>
      <c r="L151" s="1626" t="s">
        <v>3829</v>
      </c>
      <c r="M151" s="1459"/>
      <c r="N151" s="1626" t="s">
        <v>3830</v>
      </c>
      <c r="O151" s="1459"/>
      <c r="Q151" s="226" t="s">
        <v>3908</v>
      </c>
    </row>
    <row r="152" spans="11:26" x14ac:dyDescent="0.2">
      <c r="K152" s="1412" t="s">
        <v>3831</v>
      </c>
      <c r="L152" s="1626" t="s">
        <v>3832</v>
      </c>
      <c r="M152" s="1459"/>
      <c r="N152" s="1626" t="s">
        <v>3833</v>
      </c>
      <c r="O152" s="1459"/>
      <c r="Q152" s="1627" t="s">
        <v>3909</v>
      </c>
      <c r="R152" s="1627"/>
      <c r="S152" s="1627"/>
      <c r="T152" s="1627"/>
      <c r="U152" s="1627"/>
      <c r="V152" s="1627"/>
      <c r="W152" s="1627"/>
      <c r="X152" s="1627"/>
      <c r="Y152" s="1627"/>
      <c r="Z152" s="1627"/>
    </row>
    <row r="153" spans="11:26" x14ac:dyDescent="0.2">
      <c r="K153" s="1412" t="s">
        <v>3834</v>
      </c>
      <c r="L153" s="1626" t="s">
        <v>3835</v>
      </c>
      <c r="M153" s="1459"/>
      <c r="N153" s="1626" t="s">
        <v>3836</v>
      </c>
      <c r="O153" s="1459"/>
      <c r="Q153" s="1627"/>
      <c r="R153" s="1627"/>
      <c r="S153" s="1627"/>
      <c r="T153" s="1627"/>
      <c r="U153" s="1627"/>
      <c r="V153" s="1627"/>
      <c r="W153" s="1627"/>
      <c r="X153" s="1627"/>
      <c r="Y153" s="1627"/>
      <c r="Z153" s="1627"/>
    </row>
    <row r="154" spans="11:26" x14ac:dyDescent="0.2">
      <c r="K154" s="1412" t="s">
        <v>3837</v>
      </c>
      <c r="L154" s="1626" t="s">
        <v>3829</v>
      </c>
      <c r="M154" s="1459"/>
      <c r="N154" s="1626" t="s">
        <v>3838</v>
      </c>
      <c r="O154" s="1459"/>
      <c r="Q154" s="1627"/>
      <c r="R154" s="1627"/>
      <c r="S154" s="1627"/>
      <c r="T154" s="1627"/>
      <c r="U154" s="1627"/>
      <c r="V154" s="1627"/>
      <c r="W154" s="1627"/>
      <c r="X154" s="1627"/>
      <c r="Y154" s="1627"/>
      <c r="Z154" s="1627"/>
    </row>
    <row r="155" spans="11:26" x14ac:dyDescent="0.2">
      <c r="K155" s="1412" t="s">
        <v>3839</v>
      </c>
      <c r="L155" s="1626" t="s">
        <v>3840</v>
      </c>
      <c r="M155" s="1459"/>
      <c r="N155" s="1626" t="s">
        <v>3841</v>
      </c>
      <c r="O155" s="1459"/>
      <c r="Q155" s="1627" t="s">
        <v>3910</v>
      </c>
      <c r="R155" s="1628"/>
      <c r="S155" s="1628"/>
      <c r="T155" s="1628"/>
      <c r="U155" s="1628"/>
      <c r="V155" s="1628"/>
      <c r="W155" s="1628"/>
      <c r="X155" s="1628"/>
      <c r="Y155" s="1628"/>
      <c r="Z155" s="1628"/>
    </row>
    <row r="156" spans="11:26" x14ac:dyDescent="0.2">
      <c r="Q156" s="1628"/>
      <c r="R156" s="1628"/>
      <c r="S156" s="1628"/>
      <c r="T156" s="1628"/>
      <c r="U156" s="1628"/>
      <c r="V156" s="1628"/>
      <c r="W156" s="1628"/>
      <c r="X156" s="1628"/>
      <c r="Y156" s="1628"/>
      <c r="Z156" s="1628"/>
    </row>
    <row r="157" spans="11:26" x14ac:dyDescent="0.2">
      <c r="Q157" s="1503"/>
      <c r="R157" s="1503"/>
      <c r="S157" s="1503"/>
      <c r="T157" s="1503"/>
      <c r="U157" s="1503"/>
      <c r="V157" s="1503"/>
      <c r="W157" s="1503"/>
      <c r="X157" s="1503"/>
      <c r="Y157" s="1503"/>
      <c r="Z157" s="1503"/>
    </row>
    <row r="158" spans="11:26" ht="15" x14ac:dyDescent="0.2">
      <c r="K158" s="337" t="s">
        <v>3904</v>
      </c>
      <c r="Q158" s="226" t="s">
        <v>3911</v>
      </c>
    </row>
    <row r="159" spans="11:26" x14ac:dyDescent="0.2">
      <c r="K159" s="1416" t="s">
        <v>3842</v>
      </c>
      <c r="L159" s="1630" t="s">
        <v>3843</v>
      </c>
      <c r="M159" s="1631"/>
      <c r="N159" s="1630" t="s">
        <v>3844</v>
      </c>
      <c r="O159" s="1631"/>
      <c r="Q159" s="226" t="s">
        <v>3912</v>
      </c>
    </row>
    <row r="160" spans="11:26" x14ac:dyDescent="0.2">
      <c r="K160" s="1344" t="s">
        <v>3796</v>
      </c>
      <c r="L160" s="1636" t="s">
        <v>3845</v>
      </c>
      <c r="M160" s="1459"/>
      <c r="N160" s="1636" t="s">
        <v>3846</v>
      </c>
      <c r="O160" s="1459"/>
      <c r="Q160" s="226" t="s">
        <v>3913</v>
      </c>
    </row>
    <row r="161" spans="11:15" x14ac:dyDescent="0.2">
      <c r="K161" s="1344" t="s">
        <v>3847</v>
      </c>
      <c r="L161" s="1636" t="s">
        <v>3848</v>
      </c>
      <c r="M161" s="1459"/>
      <c r="N161" s="1636" t="s">
        <v>3849</v>
      </c>
      <c r="O161" s="1459"/>
    </row>
    <row r="162" spans="11:15" x14ac:dyDescent="0.2">
      <c r="K162" s="1344" t="s">
        <v>3850</v>
      </c>
      <c r="L162" s="1636" t="s">
        <v>3851</v>
      </c>
      <c r="M162" s="1459"/>
      <c r="N162" s="1636" t="s">
        <v>3852</v>
      </c>
      <c r="O162" s="1459"/>
    </row>
    <row r="163" spans="11:15" x14ac:dyDescent="0.2">
      <c r="K163" s="1344" t="s">
        <v>3853</v>
      </c>
      <c r="L163" s="1636" t="s">
        <v>3854</v>
      </c>
      <c r="M163" s="1459"/>
      <c r="N163" s="1636" t="s">
        <v>3855</v>
      </c>
      <c r="O163" s="1459"/>
    </row>
    <row r="164" spans="11:15" x14ac:dyDescent="0.2">
      <c r="K164" s="1344" t="s">
        <v>3856</v>
      </c>
      <c r="L164" s="1636" t="s">
        <v>3857</v>
      </c>
      <c r="M164" s="1459"/>
      <c r="N164" s="1636" t="s">
        <v>3858</v>
      </c>
      <c r="O164" s="1459"/>
    </row>
  </sheetData>
  <mergeCells count="664">
    <mergeCell ref="B22:H23"/>
    <mergeCell ref="C36:F36"/>
    <mergeCell ref="G36:H36"/>
    <mergeCell ref="C37:F37"/>
    <mergeCell ref="G37:H37"/>
    <mergeCell ref="C38:F38"/>
    <mergeCell ref="G38:H38"/>
    <mergeCell ref="L18:M18"/>
    <mergeCell ref="L19:M19"/>
    <mergeCell ref="L20:M20"/>
    <mergeCell ref="L22:M22"/>
    <mergeCell ref="L23:M23"/>
    <mergeCell ref="L24:M24"/>
    <mergeCell ref="L25:M25"/>
    <mergeCell ref="L26:M26"/>
    <mergeCell ref="L27:M27"/>
    <mergeCell ref="L28:M28"/>
    <mergeCell ref="L29:M29"/>
    <mergeCell ref="C47:F47"/>
    <mergeCell ref="C48:F48"/>
    <mergeCell ref="G47:H47"/>
    <mergeCell ref="G48:H48"/>
    <mergeCell ref="C45:F45"/>
    <mergeCell ref="C46:F46"/>
    <mergeCell ref="G39:H39"/>
    <mergeCell ref="G40:H40"/>
    <mergeCell ref="G41:H41"/>
    <mergeCell ref="G42:H42"/>
    <mergeCell ref="G43:H43"/>
    <mergeCell ref="G44:H44"/>
    <mergeCell ref="G45:H45"/>
    <mergeCell ref="G46:H46"/>
    <mergeCell ref="C39:F39"/>
    <mergeCell ref="C40:F40"/>
    <mergeCell ref="C41:F41"/>
    <mergeCell ref="C42:F42"/>
    <mergeCell ref="C43:F43"/>
    <mergeCell ref="C44:F44"/>
    <mergeCell ref="G49:H49"/>
    <mergeCell ref="G50:H50"/>
    <mergeCell ref="G51:H51"/>
    <mergeCell ref="G27:H27"/>
    <mergeCell ref="L36:M36"/>
    <mergeCell ref="L37:M37"/>
    <mergeCell ref="L38:M38"/>
    <mergeCell ref="L39:M39"/>
    <mergeCell ref="L40:M40"/>
    <mergeCell ref="L41:M41"/>
    <mergeCell ref="L30:M30"/>
    <mergeCell ref="L31:M31"/>
    <mergeCell ref="L32:M32"/>
    <mergeCell ref="L33:M33"/>
    <mergeCell ref="L34:M34"/>
    <mergeCell ref="L35:M35"/>
    <mergeCell ref="L47:M47"/>
    <mergeCell ref="L72:M72"/>
    <mergeCell ref="L73:M73"/>
    <mergeCell ref="L74:M74"/>
    <mergeCell ref="L42:M42"/>
    <mergeCell ref="L43:M43"/>
    <mergeCell ref="L44:M44"/>
    <mergeCell ref="L45:M45"/>
    <mergeCell ref="L46:M46"/>
    <mergeCell ref="L81:M81"/>
    <mergeCell ref="L82:M82"/>
    <mergeCell ref="L84:M84"/>
    <mergeCell ref="L85:M85"/>
    <mergeCell ref="L86:M86"/>
    <mergeCell ref="L75:M75"/>
    <mergeCell ref="L76:M76"/>
    <mergeCell ref="L77:M77"/>
    <mergeCell ref="L78:M78"/>
    <mergeCell ref="L79:M79"/>
    <mergeCell ref="L80:M80"/>
    <mergeCell ref="L93:M93"/>
    <mergeCell ref="L95:M95"/>
    <mergeCell ref="L96:M96"/>
    <mergeCell ref="L97:M97"/>
    <mergeCell ref="L98:M98"/>
    <mergeCell ref="L87:M87"/>
    <mergeCell ref="L88:M88"/>
    <mergeCell ref="L89:M89"/>
    <mergeCell ref="L90:M90"/>
    <mergeCell ref="L91:M91"/>
    <mergeCell ref="L92:M92"/>
    <mergeCell ref="L107:M107"/>
    <mergeCell ref="L108:M108"/>
    <mergeCell ref="L109:M109"/>
    <mergeCell ref="L110:M110"/>
    <mergeCell ref="L99:M99"/>
    <mergeCell ref="L100:M100"/>
    <mergeCell ref="L101:M101"/>
    <mergeCell ref="L102:M102"/>
    <mergeCell ref="L103:M103"/>
    <mergeCell ref="L104:M104"/>
    <mergeCell ref="R21:S21"/>
    <mergeCell ref="R22:S22"/>
    <mergeCell ref="R23:S23"/>
    <mergeCell ref="R24:S24"/>
    <mergeCell ref="R25:S25"/>
    <mergeCell ref="R26:S26"/>
    <mergeCell ref="L129:M129"/>
    <mergeCell ref="L130:M130"/>
    <mergeCell ref="R18:S18"/>
    <mergeCell ref="R19:S19"/>
    <mergeCell ref="R20:S20"/>
    <mergeCell ref="O44:Q44"/>
    <mergeCell ref="O45:Q45"/>
    <mergeCell ref="O46:Q46"/>
    <mergeCell ref="O47:Q47"/>
    <mergeCell ref="L123:M123"/>
    <mergeCell ref="L124:M124"/>
    <mergeCell ref="L125:M125"/>
    <mergeCell ref="L126:M126"/>
    <mergeCell ref="L127:M127"/>
    <mergeCell ref="L128:M128"/>
    <mergeCell ref="L117:M117"/>
    <mergeCell ref="L118:M118"/>
    <mergeCell ref="L119:M119"/>
    <mergeCell ref="R33:S33"/>
    <mergeCell ref="R34:S34"/>
    <mergeCell ref="R35:S35"/>
    <mergeCell ref="R36:S36"/>
    <mergeCell ref="R37:S37"/>
    <mergeCell ref="R38:S38"/>
    <mergeCell ref="R27:S27"/>
    <mergeCell ref="R28:S28"/>
    <mergeCell ref="R29:S29"/>
    <mergeCell ref="R30:S30"/>
    <mergeCell ref="R31:S31"/>
    <mergeCell ref="R32:S32"/>
    <mergeCell ref="R45:S45"/>
    <mergeCell ref="R46:S46"/>
    <mergeCell ref="R47:S47"/>
    <mergeCell ref="R48:S48"/>
    <mergeCell ref="R49:S49"/>
    <mergeCell ref="R50:S50"/>
    <mergeCell ref="R39:S39"/>
    <mergeCell ref="R40:S40"/>
    <mergeCell ref="R41:S41"/>
    <mergeCell ref="R42:S42"/>
    <mergeCell ref="R43:S43"/>
    <mergeCell ref="R44:S44"/>
    <mergeCell ref="R57:S57"/>
    <mergeCell ref="R58:S58"/>
    <mergeCell ref="R59:S59"/>
    <mergeCell ref="R60:S60"/>
    <mergeCell ref="R61:S61"/>
    <mergeCell ref="R62:S62"/>
    <mergeCell ref="R51:S51"/>
    <mergeCell ref="R52:S52"/>
    <mergeCell ref="R53:S53"/>
    <mergeCell ref="R54:S54"/>
    <mergeCell ref="R55:S55"/>
    <mergeCell ref="R56:S56"/>
    <mergeCell ref="R69:S69"/>
    <mergeCell ref="R70:S70"/>
    <mergeCell ref="R71:S71"/>
    <mergeCell ref="R72:S72"/>
    <mergeCell ref="R73:S73"/>
    <mergeCell ref="R74:S74"/>
    <mergeCell ref="R63:S63"/>
    <mergeCell ref="R64:S64"/>
    <mergeCell ref="R65:S65"/>
    <mergeCell ref="R66:S66"/>
    <mergeCell ref="R67:S67"/>
    <mergeCell ref="R68:S68"/>
    <mergeCell ref="R84:S84"/>
    <mergeCell ref="R85:S85"/>
    <mergeCell ref="R86:S86"/>
    <mergeCell ref="R75:S75"/>
    <mergeCell ref="R76:S76"/>
    <mergeCell ref="R77:S77"/>
    <mergeCell ref="R78:S78"/>
    <mergeCell ref="R79:S79"/>
    <mergeCell ref="R80:S80"/>
    <mergeCell ref="O18:Q18"/>
    <mergeCell ref="O19:Q19"/>
    <mergeCell ref="O20:Q20"/>
    <mergeCell ref="O21:Q21"/>
    <mergeCell ref="O22:Q22"/>
    <mergeCell ref="O23:Q23"/>
    <mergeCell ref="O48:Q48"/>
    <mergeCell ref="O49:Q49"/>
    <mergeCell ref="O50:Q50"/>
    <mergeCell ref="O35:Q35"/>
    <mergeCell ref="O36:Q36"/>
    <mergeCell ref="O37:Q37"/>
    <mergeCell ref="O38:Q38"/>
    <mergeCell ref="O34:Q34"/>
    <mergeCell ref="O24:Q24"/>
    <mergeCell ref="O25:Q25"/>
    <mergeCell ref="O26:Q26"/>
    <mergeCell ref="O27:Q27"/>
    <mergeCell ref="O28:Q28"/>
    <mergeCell ref="O29:Q29"/>
    <mergeCell ref="O30:Q30"/>
    <mergeCell ref="O31:Q31"/>
    <mergeCell ref="O32:Q32"/>
    <mergeCell ref="O33:Q33"/>
    <mergeCell ref="O51:Q51"/>
    <mergeCell ref="O52:Q52"/>
    <mergeCell ref="O53:Q53"/>
    <mergeCell ref="O39:Q39"/>
    <mergeCell ref="O40:Q40"/>
    <mergeCell ref="O41:Q41"/>
    <mergeCell ref="O42:Q42"/>
    <mergeCell ref="O43:Q43"/>
    <mergeCell ref="K21:L21"/>
    <mergeCell ref="X45:Y45"/>
    <mergeCell ref="X46:Y46"/>
    <mergeCell ref="X47:Y47"/>
    <mergeCell ref="X48:Y48"/>
    <mergeCell ref="X49:Y49"/>
    <mergeCell ref="O78:Q78"/>
    <mergeCell ref="O79:Q79"/>
    <mergeCell ref="O80:Q80"/>
    <mergeCell ref="O72:Q72"/>
    <mergeCell ref="O73:Q73"/>
    <mergeCell ref="O74:Q74"/>
    <mergeCell ref="O75:Q75"/>
    <mergeCell ref="O76:Q76"/>
    <mergeCell ref="O77:Q77"/>
    <mergeCell ref="O66:Q66"/>
    <mergeCell ref="O67:Q67"/>
    <mergeCell ref="O68:Q68"/>
    <mergeCell ref="O69:Q69"/>
    <mergeCell ref="O70:Q70"/>
    <mergeCell ref="O71:Q71"/>
    <mergeCell ref="O60:Q60"/>
    <mergeCell ref="O61:Q61"/>
    <mergeCell ref="O62:Q62"/>
    <mergeCell ref="X50:Y50"/>
    <mergeCell ref="X51:Y51"/>
    <mergeCell ref="X52:Y52"/>
    <mergeCell ref="X53:Y53"/>
    <mergeCell ref="X54:Y54"/>
    <mergeCell ref="X55:Y55"/>
    <mergeCell ref="O84:Q84"/>
    <mergeCell ref="O85:Q85"/>
    <mergeCell ref="O86:Q86"/>
    <mergeCell ref="O81:Q81"/>
    <mergeCell ref="O82:Q82"/>
    <mergeCell ref="O83:Q83"/>
    <mergeCell ref="O63:Q63"/>
    <mergeCell ref="O64:Q64"/>
    <mergeCell ref="O65:Q65"/>
    <mergeCell ref="O54:Q54"/>
    <mergeCell ref="O55:Q55"/>
    <mergeCell ref="O56:Q56"/>
    <mergeCell ref="O57:Q57"/>
    <mergeCell ref="O58:Q58"/>
    <mergeCell ref="O59:Q59"/>
    <mergeCell ref="R81:S81"/>
    <mergeCell ref="R82:S82"/>
    <mergeCell ref="R83:S83"/>
    <mergeCell ref="X74:Y74"/>
    <mergeCell ref="X75:Y75"/>
    <mergeCell ref="X76:Y76"/>
    <mergeCell ref="X77:Y77"/>
    <mergeCell ref="X78:Y78"/>
    <mergeCell ref="X79:Y79"/>
    <mergeCell ref="X68:Y68"/>
    <mergeCell ref="X69:Y69"/>
    <mergeCell ref="X70:Y70"/>
    <mergeCell ref="X71:Y71"/>
    <mergeCell ref="X72:Y72"/>
    <mergeCell ref="X73:Y73"/>
    <mergeCell ref="X86:Y86"/>
    <mergeCell ref="X87:Y87"/>
    <mergeCell ref="X88:Y88"/>
    <mergeCell ref="X89:Y89"/>
    <mergeCell ref="X90:Y90"/>
    <mergeCell ref="X91:Y91"/>
    <mergeCell ref="X80:Y80"/>
    <mergeCell ref="X81:Y81"/>
    <mergeCell ref="X82:Y82"/>
    <mergeCell ref="X83:Y83"/>
    <mergeCell ref="X84:Y84"/>
    <mergeCell ref="X85:Y85"/>
    <mergeCell ref="X98:Y98"/>
    <mergeCell ref="X99:Y99"/>
    <mergeCell ref="X100:Y100"/>
    <mergeCell ref="X101:Y101"/>
    <mergeCell ref="X102:Y102"/>
    <mergeCell ref="X103:Y103"/>
    <mergeCell ref="X92:Y92"/>
    <mergeCell ref="X93:Y93"/>
    <mergeCell ref="X94:Y94"/>
    <mergeCell ref="X95:Y95"/>
    <mergeCell ref="X96:Y96"/>
    <mergeCell ref="X97:Y97"/>
    <mergeCell ref="X113:Y113"/>
    <mergeCell ref="X114:Y114"/>
    <mergeCell ref="X115:Y115"/>
    <mergeCell ref="X104:Y104"/>
    <mergeCell ref="X105:Y105"/>
    <mergeCell ref="X106:Y106"/>
    <mergeCell ref="X107:Y107"/>
    <mergeCell ref="X108:Y108"/>
    <mergeCell ref="X109:Y109"/>
    <mergeCell ref="X127:Y127"/>
    <mergeCell ref="X128:Y128"/>
    <mergeCell ref="X129:Y129"/>
    <mergeCell ref="X18:Y18"/>
    <mergeCell ref="X19:Y19"/>
    <mergeCell ref="X20:Y20"/>
    <mergeCell ref="X21:Y21"/>
    <mergeCell ref="X22:Y22"/>
    <mergeCell ref="X23:Y23"/>
    <mergeCell ref="X24:Y24"/>
    <mergeCell ref="X121:Y121"/>
    <mergeCell ref="X122:Y122"/>
    <mergeCell ref="X123:Y123"/>
    <mergeCell ref="X124:Y124"/>
    <mergeCell ref="X125:Y125"/>
    <mergeCell ref="X126:Y126"/>
    <mergeCell ref="X116:Y116"/>
    <mergeCell ref="X117:Y117"/>
    <mergeCell ref="X118:Y118"/>
    <mergeCell ref="X119:Y119"/>
    <mergeCell ref="X120:Y120"/>
    <mergeCell ref="X110:Y110"/>
    <mergeCell ref="X111:Y111"/>
    <mergeCell ref="X112:Y112"/>
    <mergeCell ref="X31:Y31"/>
    <mergeCell ref="X32:Y32"/>
    <mergeCell ref="X33:Y33"/>
    <mergeCell ref="X34:Y34"/>
    <mergeCell ref="X35:Y35"/>
    <mergeCell ref="X36:Y36"/>
    <mergeCell ref="X25:Y25"/>
    <mergeCell ref="X26:Y26"/>
    <mergeCell ref="X27:Y27"/>
    <mergeCell ref="X28:Y28"/>
    <mergeCell ref="X29:Y29"/>
    <mergeCell ref="X30:Y30"/>
    <mergeCell ref="AA51:AC51"/>
    <mergeCell ref="AA52:AC52"/>
    <mergeCell ref="AA53:AC53"/>
    <mergeCell ref="AD71:AE71"/>
    <mergeCell ref="AD72:AE72"/>
    <mergeCell ref="AD73:AE73"/>
    <mergeCell ref="X37:Y37"/>
    <mergeCell ref="X38:Y38"/>
    <mergeCell ref="X39:Y39"/>
    <mergeCell ref="X40:Y40"/>
    <mergeCell ref="X41:Y41"/>
    <mergeCell ref="X42:Y42"/>
    <mergeCell ref="X62:Y62"/>
    <mergeCell ref="X63:Y63"/>
    <mergeCell ref="X64:Y64"/>
    <mergeCell ref="X65:Y65"/>
    <mergeCell ref="X66:Y66"/>
    <mergeCell ref="X67:Y67"/>
    <mergeCell ref="X56:Y56"/>
    <mergeCell ref="X57:Y57"/>
    <mergeCell ref="X58:Y58"/>
    <mergeCell ref="X59:Y59"/>
    <mergeCell ref="X60:Y60"/>
    <mergeCell ref="X61:Y61"/>
    <mergeCell ref="AA71:AC71"/>
    <mergeCell ref="AA72:AC72"/>
    <mergeCell ref="AA73:AC73"/>
    <mergeCell ref="AA60:AC60"/>
    <mergeCell ref="AA61:AC61"/>
    <mergeCell ref="AA62:AC62"/>
    <mergeCell ref="AA63:AC63"/>
    <mergeCell ref="AA64:AC64"/>
    <mergeCell ref="AA65:AC65"/>
    <mergeCell ref="AA87:AC87"/>
    <mergeCell ref="AA88:AC88"/>
    <mergeCell ref="AA89:AC89"/>
    <mergeCell ref="AA90:AC90"/>
    <mergeCell ref="AA76:AC76"/>
    <mergeCell ref="AA77:AC77"/>
    <mergeCell ref="AA78:AC78"/>
    <mergeCell ref="AA79:AC79"/>
    <mergeCell ref="AA80:AC80"/>
    <mergeCell ref="AA81:AC81"/>
    <mergeCell ref="AA82:AC82"/>
    <mergeCell ref="AA103:AC103"/>
    <mergeCell ref="AA104:AC104"/>
    <mergeCell ref="AA18:AC18"/>
    <mergeCell ref="AA19:AC19"/>
    <mergeCell ref="AA20:AC20"/>
    <mergeCell ref="AA26:AC26"/>
    <mergeCell ref="AA22:AC22"/>
    <mergeCell ref="AA23:AC23"/>
    <mergeCell ref="AA24:AC24"/>
    <mergeCell ref="AA25:AC25"/>
    <mergeCell ref="AA97:AC97"/>
    <mergeCell ref="AA98:AC98"/>
    <mergeCell ref="AA99:AC99"/>
    <mergeCell ref="AA100:AC100"/>
    <mergeCell ref="AA101:AC101"/>
    <mergeCell ref="AA102:AC102"/>
    <mergeCell ref="AA91:AC91"/>
    <mergeCell ref="AA92:AC92"/>
    <mergeCell ref="AA93:AC93"/>
    <mergeCell ref="AA94:AC94"/>
    <mergeCell ref="AA95:AC95"/>
    <mergeCell ref="AA96:AC96"/>
    <mergeCell ref="AA85:AC85"/>
    <mergeCell ref="AA86:AC86"/>
    <mergeCell ref="AA34:AC34"/>
    <mergeCell ref="AA35:AC35"/>
    <mergeCell ref="AA36:AC36"/>
    <mergeCell ref="AA37:AC37"/>
    <mergeCell ref="AA38:AC38"/>
    <mergeCell ref="AA39:AC39"/>
    <mergeCell ref="AA28:AC28"/>
    <mergeCell ref="AA29:AC29"/>
    <mergeCell ref="AA30:AC30"/>
    <mergeCell ref="AA31:AC31"/>
    <mergeCell ref="AA32:AC32"/>
    <mergeCell ref="AA33:AC33"/>
    <mergeCell ref="E65:G65"/>
    <mergeCell ref="E66:G66"/>
    <mergeCell ref="E67:G67"/>
    <mergeCell ref="E68:G68"/>
    <mergeCell ref="E69:G69"/>
    <mergeCell ref="E70:G70"/>
    <mergeCell ref="AA40:AC40"/>
    <mergeCell ref="AA41:AC41"/>
    <mergeCell ref="E61:G61"/>
    <mergeCell ref="E62:G62"/>
    <mergeCell ref="E63:G63"/>
    <mergeCell ref="E64:G64"/>
    <mergeCell ref="AA66:AC66"/>
    <mergeCell ref="AA67:AC67"/>
    <mergeCell ref="AA70:AC70"/>
    <mergeCell ref="AA54:AC54"/>
    <mergeCell ref="AA55:AC55"/>
    <mergeCell ref="AA56:AC56"/>
    <mergeCell ref="AA57:AC57"/>
    <mergeCell ref="AA58:AC58"/>
    <mergeCell ref="AA59:AC59"/>
    <mergeCell ref="AA48:AC48"/>
    <mergeCell ref="AA49:AC49"/>
    <mergeCell ref="AA50:AC50"/>
    <mergeCell ref="E77:G77"/>
    <mergeCell ref="E78:G78"/>
    <mergeCell ref="E79:G79"/>
    <mergeCell ref="E80:G80"/>
    <mergeCell ref="E81:G81"/>
    <mergeCell ref="E82:G82"/>
    <mergeCell ref="E71:G71"/>
    <mergeCell ref="E72:G72"/>
    <mergeCell ref="E73:G73"/>
    <mergeCell ref="E74:G74"/>
    <mergeCell ref="E75:G75"/>
    <mergeCell ref="E76:G76"/>
    <mergeCell ref="E89:G89"/>
    <mergeCell ref="E90:G90"/>
    <mergeCell ref="E91:G91"/>
    <mergeCell ref="E92:G92"/>
    <mergeCell ref="E93:G93"/>
    <mergeCell ref="E94:G94"/>
    <mergeCell ref="E83:G83"/>
    <mergeCell ref="E84:G84"/>
    <mergeCell ref="E85:G85"/>
    <mergeCell ref="E86:G86"/>
    <mergeCell ref="E87:G87"/>
    <mergeCell ref="E88:G88"/>
    <mergeCell ref="L140:M140"/>
    <mergeCell ref="L141:M141"/>
    <mergeCell ref="B110:C110"/>
    <mergeCell ref="B111:C111"/>
    <mergeCell ref="B112:C112"/>
    <mergeCell ref="B113:C113"/>
    <mergeCell ref="B114:C114"/>
    <mergeCell ref="L135:M135"/>
    <mergeCell ref="E95:G95"/>
    <mergeCell ref="B105:C105"/>
    <mergeCell ref="B106:C106"/>
    <mergeCell ref="B107:C107"/>
    <mergeCell ref="B108:C108"/>
    <mergeCell ref="B109:C109"/>
    <mergeCell ref="L120:M120"/>
    <mergeCell ref="L121:M121"/>
    <mergeCell ref="L122:M122"/>
    <mergeCell ref="L111:M111"/>
    <mergeCell ref="L112:M112"/>
    <mergeCell ref="L113:M113"/>
    <mergeCell ref="L114:M114"/>
    <mergeCell ref="L115:M115"/>
    <mergeCell ref="L116:M116"/>
    <mergeCell ref="L105:M105"/>
    <mergeCell ref="L155:M155"/>
    <mergeCell ref="N136:O136"/>
    <mergeCell ref="N137:O137"/>
    <mergeCell ref="N138:O138"/>
    <mergeCell ref="N139:O139"/>
    <mergeCell ref="N140:O140"/>
    <mergeCell ref="N141:O141"/>
    <mergeCell ref="N142:O142"/>
    <mergeCell ref="L148:M148"/>
    <mergeCell ref="L149:M149"/>
    <mergeCell ref="L150:M150"/>
    <mergeCell ref="L151:M151"/>
    <mergeCell ref="L152:M152"/>
    <mergeCell ref="L153:M153"/>
    <mergeCell ref="L142:M142"/>
    <mergeCell ref="L143:M143"/>
    <mergeCell ref="L144:M144"/>
    <mergeCell ref="L145:M145"/>
    <mergeCell ref="L146:M146"/>
    <mergeCell ref="L147:M147"/>
    <mergeCell ref="L136:M136"/>
    <mergeCell ref="L137:M137"/>
    <mergeCell ref="L138:M138"/>
    <mergeCell ref="L139:M139"/>
    <mergeCell ref="N153:O153"/>
    <mergeCell ref="N154:O154"/>
    <mergeCell ref="N143:O143"/>
    <mergeCell ref="N144:O144"/>
    <mergeCell ref="N145:O145"/>
    <mergeCell ref="N146:O146"/>
    <mergeCell ref="N147:O147"/>
    <mergeCell ref="N148:O148"/>
    <mergeCell ref="L154:M154"/>
    <mergeCell ref="Q146:R146"/>
    <mergeCell ref="Q135:R135"/>
    <mergeCell ref="Q136:R136"/>
    <mergeCell ref="Q137:R137"/>
    <mergeCell ref="Q138:R138"/>
    <mergeCell ref="Q139:R139"/>
    <mergeCell ref="Q140:R140"/>
    <mergeCell ref="L163:M163"/>
    <mergeCell ref="L164:M164"/>
    <mergeCell ref="N160:O160"/>
    <mergeCell ref="N161:O161"/>
    <mergeCell ref="N162:O162"/>
    <mergeCell ref="N163:O163"/>
    <mergeCell ref="N164:O164"/>
    <mergeCell ref="N155:O155"/>
    <mergeCell ref="L159:M159"/>
    <mergeCell ref="N159:O159"/>
    <mergeCell ref="L160:M160"/>
    <mergeCell ref="L161:M161"/>
    <mergeCell ref="L162:M162"/>
    <mergeCell ref="N149:O149"/>
    <mergeCell ref="N150:O150"/>
    <mergeCell ref="N151:O151"/>
    <mergeCell ref="N152:O152"/>
    <mergeCell ref="S143:U143"/>
    <mergeCell ref="S144:U144"/>
    <mergeCell ref="S145:U145"/>
    <mergeCell ref="V135:W135"/>
    <mergeCell ref="Q141:R141"/>
    <mergeCell ref="Q142:R142"/>
    <mergeCell ref="Q143:R143"/>
    <mergeCell ref="Q144:R144"/>
    <mergeCell ref="Q145:R145"/>
    <mergeCell ref="S146:U146"/>
    <mergeCell ref="Q152:Z154"/>
    <mergeCell ref="Q155:Z157"/>
    <mergeCell ref="B99:H100"/>
    <mergeCell ref="B116:H117"/>
    <mergeCell ref="V145:W145"/>
    <mergeCell ref="V146:W146"/>
    <mergeCell ref="S135:U135"/>
    <mergeCell ref="S136:U136"/>
    <mergeCell ref="S137:U137"/>
    <mergeCell ref="S138:U138"/>
    <mergeCell ref="S139:U139"/>
    <mergeCell ref="S140:U140"/>
    <mergeCell ref="S141:U141"/>
    <mergeCell ref="S142:U142"/>
    <mergeCell ref="V136:W136"/>
    <mergeCell ref="V137:W137"/>
    <mergeCell ref="V138:W138"/>
    <mergeCell ref="V139:W139"/>
    <mergeCell ref="V140:W140"/>
    <mergeCell ref="V141:W141"/>
    <mergeCell ref="V142:W142"/>
    <mergeCell ref="V143:W143"/>
    <mergeCell ref="V144:W144"/>
    <mergeCell ref="AD53:AE53"/>
    <mergeCell ref="AD54:AE54"/>
    <mergeCell ref="AD55:AE55"/>
    <mergeCell ref="AD56:AE56"/>
    <mergeCell ref="AD57:AE57"/>
    <mergeCell ref="AD58:AE58"/>
    <mergeCell ref="AD47:AE47"/>
    <mergeCell ref="AD48:AE48"/>
    <mergeCell ref="AD49:AE49"/>
    <mergeCell ref="AD50:AE50"/>
    <mergeCell ref="AD51:AE51"/>
    <mergeCell ref="AD52:AE52"/>
    <mergeCell ref="AD65:AE65"/>
    <mergeCell ref="AD66:AE66"/>
    <mergeCell ref="AD67:AE67"/>
    <mergeCell ref="AD68:AE68"/>
    <mergeCell ref="AD69:AE69"/>
    <mergeCell ref="AD70:AE70"/>
    <mergeCell ref="AD59:AE59"/>
    <mergeCell ref="AD60:AE60"/>
    <mergeCell ref="AD61:AE61"/>
    <mergeCell ref="AD62:AE62"/>
    <mergeCell ref="AD63:AE63"/>
    <mergeCell ref="AD64:AE64"/>
    <mergeCell ref="AD81:AE81"/>
    <mergeCell ref="AD84:AE84"/>
    <mergeCell ref="AD85:AE85"/>
    <mergeCell ref="AD86:AE86"/>
    <mergeCell ref="AD87:AE87"/>
    <mergeCell ref="AD74:AE74"/>
    <mergeCell ref="AD75:AE75"/>
    <mergeCell ref="AD76:AE76"/>
    <mergeCell ref="AD77:AE77"/>
    <mergeCell ref="AD78:AE78"/>
    <mergeCell ref="AD79:AE79"/>
    <mergeCell ref="AD82:AE82"/>
    <mergeCell ref="AD83:AE83"/>
    <mergeCell ref="AD23:AE23"/>
    <mergeCell ref="AD100:AE100"/>
    <mergeCell ref="AD101:AE101"/>
    <mergeCell ref="AD102:AE102"/>
    <mergeCell ref="AD103:AE103"/>
    <mergeCell ref="AD104:AE104"/>
    <mergeCell ref="AD18:AE18"/>
    <mergeCell ref="AD24:AE24"/>
    <mergeCell ref="AD25:AE25"/>
    <mergeCell ref="AD26:AE26"/>
    <mergeCell ref="AD27:AE27"/>
    <mergeCell ref="AD94:AE94"/>
    <mergeCell ref="AD95:AE95"/>
    <mergeCell ref="AD96:AE96"/>
    <mergeCell ref="AD97:AE97"/>
    <mergeCell ref="AD98:AE98"/>
    <mergeCell ref="AD99:AE99"/>
    <mergeCell ref="AD88:AE88"/>
    <mergeCell ref="AD89:AE89"/>
    <mergeCell ref="AD90:AE90"/>
    <mergeCell ref="AD91:AE91"/>
    <mergeCell ref="AD92:AE92"/>
    <mergeCell ref="AD93:AE93"/>
    <mergeCell ref="AD80:AE80"/>
    <mergeCell ref="AD40:AE40"/>
    <mergeCell ref="AD41:AE41"/>
    <mergeCell ref="AD42:AE42"/>
    <mergeCell ref="AA17:AC17"/>
    <mergeCell ref="AA21:AC21"/>
    <mergeCell ref="AA27:AC27"/>
    <mergeCell ref="AA42:AC42"/>
    <mergeCell ref="AD34:AE34"/>
    <mergeCell ref="AD35:AE35"/>
    <mergeCell ref="AD36:AE36"/>
    <mergeCell ref="AD37:AE37"/>
    <mergeCell ref="AD38:AE38"/>
    <mergeCell ref="AD39:AE39"/>
    <mergeCell ref="AD28:AE28"/>
    <mergeCell ref="AD29:AE29"/>
    <mergeCell ref="AD30:AE30"/>
    <mergeCell ref="AD31:AE31"/>
    <mergeCell ref="AD32:AE32"/>
    <mergeCell ref="AD33:AE33"/>
    <mergeCell ref="AD17:AE17"/>
    <mergeCell ref="AD19:AE19"/>
    <mergeCell ref="AD20:AE20"/>
    <mergeCell ref="AD21:AE21"/>
    <mergeCell ref="AD22:AE2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99358-9FB3-4A9E-9E25-2E64FD1C7199}">
  <sheetPr>
    <tabColor rgb="FFBAECDB"/>
  </sheetPr>
  <dimension ref="B1:U87"/>
  <sheetViews>
    <sheetView topLeftCell="A16" zoomScaleNormal="100" workbookViewId="0">
      <selection activeCell="M24" sqref="M24"/>
    </sheetView>
  </sheetViews>
  <sheetFormatPr defaultRowHeight="15" x14ac:dyDescent="0.25"/>
  <cols>
    <col min="1" max="1" width="0.875" style="314" customWidth="1"/>
    <col min="2" max="2" width="10.875" style="314" customWidth="1"/>
    <col min="3" max="3" width="9.75" style="314" customWidth="1"/>
    <col min="4" max="4" width="9.375" style="314" customWidth="1"/>
    <col min="5" max="5" width="11.875" style="314" customWidth="1"/>
    <col min="6" max="7" width="11.75" style="314" customWidth="1"/>
    <col min="8" max="8" width="13.25" style="314" customWidth="1"/>
    <col min="9" max="9" width="11.125" style="314" customWidth="1"/>
    <col min="10" max="10" width="1.625" style="314" customWidth="1"/>
    <col min="11" max="11" width="3.5" style="314" customWidth="1"/>
    <col min="12" max="12" width="20.375" style="314" customWidth="1"/>
    <col min="13" max="13" width="9" style="314" customWidth="1"/>
    <col min="14" max="14" width="13.625" style="314" customWidth="1"/>
    <col min="15" max="15" width="13.125" style="314" customWidth="1"/>
    <col min="16" max="16" width="23.75" style="314" customWidth="1"/>
    <col min="17" max="17" width="3.25" style="314" customWidth="1"/>
    <col min="18" max="18" width="12" style="314" customWidth="1"/>
    <col min="19" max="19" width="17.875" style="314" customWidth="1"/>
    <col min="20" max="20" width="2.5" style="314" customWidth="1"/>
    <col min="21" max="21" width="13.875" style="314" bestFit="1" customWidth="1"/>
    <col min="22" max="16384" width="9" style="314"/>
  </cols>
  <sheetData>
    <row r="1" spans="2:18" ht="15.75" x14ac:dyDescent="0.25">
      <c r="B1" s="958" t="s">
        <v>2370</v>
      </c>
      <c r="L1" s="958" t="s">
        <v>1757</v>
      </c>
      <c r="R1" s="215"/>
    </row>
    <row r="2" spans="2:18" ht="15.75" thickBot="1" x14ac:dyDescent="0.3">
      <c r="B2" s="524" t="s">
        <v>2372</v>
      </c>
      <c r="C2" s="525"/>
      <c r="D2" s="525"/>
      <c r="E2" s="525" t="s">
        <v>2371</v>
      </c>
      <c r="F2" s="526"/>
      <c r="G2" s="526"/>
      <c r="L2" s="215"/>
      <c r="M2" s="215"/>
      <c r="N2" s="215"/>
      <c r="O2" s="215"/>
      <c r="P2" s="215"/>
      <c r="Q2" s="215"/>
      <c r="R2" s="215"/>
    </row>
    <row r="3" spans="2:18" x14ac:dyDescent="0.25">
      <c r="B3" s="1176" t="s">
        <v>53</v>
      </c>
      <c r="C3" s="1176" t="s">
        <v>135</v>
      </c>
      <c r="D3" s="1176" t="s">
        <v>2338</v>
      </c>
      <c r="E3" s="1177" t="s">
        <v>2339</v>
      </c>
      <c r="F3" s="1177" t="s">
        <v>1992</v>
      </c>
      <c r="G3" s="1177" t="s">
        <v>1994</v>
      </c>
      <c r="L3" s="376" t="s">
        <v>2110</v>
      </c>
      <c r="M3" s="367"/>
      <c r="N3" s="367"/>
      <c r="O3" s="367"/>
      <c r="P3" s="368"/>
      <c r="Q3" s="215"/>
      <c r="R3" s="215"/>
    </row>
    <row r="4" spans="2:18" x14ac:dyDescent="0.25">
      <c r="B4" s="538" t="s">
        <v>2341</v>
      </c>
      <c r="C4" s="537" t="s">
        <v>2340</v>
      </c>
      <c r="D4" s="537">
        <v>0.01</v>
      </c>
      <c r="E4" s="539"/>
      <c r="F4" s="552">
        <f t="shared" ref="F4:F18" si="0">D4*E4</f>
        <v>0</v>
      </c>
      <c r="G4" s="552">
        <f t="shared" ref="G4:G18" si="1">E4/16</f>
        <v>0</v>
      </c>
      <c r="L4" s="1569" t="s">
        <v>2118</v>
      </c>
      <c r="M4" s="1570"/>
      <c r="N4" s="1570"/>
      <c r="O4" s="1570"/>
      <c r="P4" s="1571"/>
      <c r="Q4" s="215"/>
      <c r="R4" s="215"/>
    </row>
    <row r="5" spans="2:18" x14ac:dyDescent="0.25">
      <c r="B5" s="541" t="s">
        <v>2343</v>
      </c>
      <c r="C5" s="540" t="s">
        <v>2342</v>
      </c>
      <c r="D5" s="540">
        <v>0.05</v>
      </c>
      <c r="E5" s="542"/>
      <c r="F5" s="552">
        <f t="shared" si="0"/>
        <v>0</v>
      </c>
      <c r="G5" s="552">
        <f t="shared" si="1"/>
        <v>0</v>
      </c>
      <c r="L5" s="1572"/>
      <c r="M5" s="1570"/>
      <c r="N5" s="1570"/>
      <c r="O5" s="1570"/>
      <c r="P5" s="1571"/>
      <c r="Q5" s="215"/>
      <c r="R5" s="215"/>
    </row>
    <row r="6" spans="2:18" x14ac:dyDescent="0.25">
      <c r="B6" s="545" t="s">
        <v>2345</v>
      </c>
      <c r="C6" s="543" t="s">
        <v>2344</v>
      </c>
      <c r="D6" s="544">
        <v>0.1</v>
      </c>
      <c r="E6" s="542"/>
      <c r="F6" s="1178">
        <f t="shared" si="0"/>
        <v>0</v>
      </c>
      <c r="G6" s="1178">
        <f t="shared" si="1"/>
        <v>0</v>
      </c>
      <c r="L6" s="1572"/>
      <c r="M6" s="1570"/>
      <c r="N6" s="1570"/>
      <c r="O6" s="1570"/>
      <c r="P6" s="1571"/>
      <c r="Q6" s="215"/>
      <c r="R6" s="215"/>
    </row>
    <row r="7" spans="2:18" x14ac:dyDescent="0.25">
      <c r="B7" s="563" t="s">
        <v>2347</v>
      </c>
      <c r="C7" s="568" t="s">
        <v>2346</v>
      </c>
      <c r="D7" s="562">
        <v>0.25</v>
      </c>
      <c r="E7" s="542"/>
      <c r="F7" s="1178">
        <f t="shared" si="0"/>
        <v>0</v>
      </c>
      <c r="G7" s="1178">
        <f t="shared" si="1"/>
        <v>0</v>
      </c>
      <c r="L7" s="377"/>
      <c r="O7" s="383"/>
      <c r="P7" s="384"/>
      <c r="Q7" s="215"/>
      <c r="R7" s="215"/>
    </row>
    <row r="8" spans="2:18" x14ac:dyDescent="0.25">
      <c r="B8" s="551" t="s">
        <v>2349</v>
      </c>
      <c r="C8" s="549" t="s">
        <v>2348</v>
      </c>
      <c r="D8" s="550">
        <v>0.5</v>
      </c>
      <c r="E8" s="542"/>
      <c r="F8" s="552">
        <f t="shared" si="0"/>
        <v>0</v>
      </c>
      <c r="G8" s="552">
        <f t="shared" si="1"/>
        <v>0</v>
      </c>
      <c r="L8" s="378" t="s">
        <v>1995</v>
      </c>
      <c r="M8" s="276" t="s">
        <v>1996</v>
      </c>
      <c r="N8" s="276" t="s">
        <v>1997</v>
      </c>
      <c r="O8" s="276" t="s">
        <v>2116</v>
      </c>
      <c r="P8" s="384"/>
      <c r="Q8" s="215"/>
      <c r="R8" s="215"/>
    </row>
    <row r="9" spans="2:18" x14ac:dyDescent="0.25">
      <c r="B9" s="565" t="s">
        <v>2351</v>
      </c>
      <c r="C9" s="564" t="s">
        <v>2350</v>
      </c>
      <c r="D9" s="564">
        <v>1</v>
      </c>
      <c r="E9" s="542"/>
      <c r="F9" s="552">
        <f t="shared" si="0"/>
        <v>0</v>
      </c>
      <c r="G9" s="552">
        <f t="shared" si="1"/>
        <v>0</v>
      </c>
      <c r="L9" s="358" t="s">
        <v>1998</v>
      </c>
      <c r="M9" s="279">
        <v>12</v>
      </c>
      <c r="N9" s="279">
        <v>4</v>
      </c>
      <c r="O9" s="279">
        <v>8</v>
      </c>
      <c r="P9" s="351" t="s">
        <v>2125</v>
      </c>
      <c r="Q9" s="215"/>
      <c r="R9" s="215"/>
    </row>
    <row r="10" spans="2:18" x14ac:dyDescent="0.25">
      <c r="B10" s="567" t="s">
        <v>2353</v>
      </c>
      <c r="C10" s="566" t="s">
        <v>2352</v>
      </c>
      <c r="D10" s="566">
        <v>5</v>
      </c>
      <c r="E10" s="542"/>
      <c r="F10" s="1178">
        <f t="shared" si="0"/>
        <v>0</v>
      </c>
      <c r="G10" s="1178">
        <f t="shared" si="1"/>
        <v>0</v>
      </c>
      <c r="L10" s="358" t="s">
        <v>1999</v>
      </c>
      <c r="M10" s="279">
        <v>18</v>
      </c>
      <c r="N10" s="279">
        <v>16</v>
      </c>
      <c r="O10" s="279">
        <v>12</v>
      </c>
      <c r="P10" s="351" t="s">
        <v>2126</v>
      </c>
      <c r="Q10" s="215"/>
      <c r="R10" s="215"/>
    </row>
    <row r="11" spans="2:18" x14ac:dyDescent="0.25">
      <c r="B11" s="563" t="s">
        <v>2355</v>
      </c>
      <c r="C11" s="562" t="s">
        <v>2354</v>
      </c>
      <c r="D11" s="562">
        <v>10</v>
      </c>
      <c r="E11" s="542"/>
      <c r="F11" s="1178">
        <f t="shared" si="0"/>
        <v>0</v>
      </c>
      <c r="G11" s="1178">
        <f t="shared" si="1"/>
        <v>0</v>
      </c>
      <c r="L11" s="358" t="s">
        <v>2000</v>
      </c>
      <c r="M11" s="279">
        <v>24</v>
      </c>
      <c r="N11" s="279">
        <v>8</v>
      </c>
      <c r="O11" s="279">
        <v>16</v>
      </c>
      <c r="P11" s="351" t="s">
        <v>2128</v>
      </c>
      <c r="Q11" s="215"/>
      <c r="R11" s="215"/>
    </row>
    <row r="12" spans="2:18" x14ac:dyDescent="0.25">
      <c r="B12" s="561" t="s">
        <v>2357</v>
      </c>
      <c r="C12" s="560" t="s">
        <v>2356</v>
      </c>
      <c r="D12" s="560">
        <v>50</v>
      </c>
      <c r="E12" s="542"/>
      <c r="F12" s="552">
        <f t="shared" si="0"/>
        <v>0</v>
      </c>
      <c r="G12" s="552">
        <f t="shared" si="1"/>
        <v>0</v>
      </c>
      <c r="L12" s="358"/>
      <c r="M12" s="279"/>
      <c r="N12" s="279"/>
      <c r="O12" s="215"/>
      <c r="P12" s="369"/>
      <c r="Q12" s="215"/>
      <c r="R12" s="215"/>
    </row>
    <row r="13" spans="2:18" x14ac:dyDescent="0.25">
      <c r="B13" s="561" t="s">
        <v>2359</v>
      </c>
      <c r="C13" s="560" t="s">
        <v>2358</v>
      </c>
      <c r="D13" s="560">
        <v>100</v>
      </c>
      <c r="E13" s="542"/>
      <c r="F13" s="552">
        <f t="shared" si="0"/>
        <v>0</v>
      </c>
      <c r="G13" s="552">
        <f t="shared" si="1"/>
        <v>0</v>
      </c>
      <c r="L13" s="379" t="s">
        <v>2119</v>
      </c>
      <c r="M13" s="279"/>
      <c r="N13" s="279"/>
      <c r="O13" s="215"/>
      <c r="P13" s="369"/>
      <c r="Q13" s="215"/>
      <c r="R13" s="215"/>
    </row>
    <row r="14" spans="2:18" x14ac:dyDescent="0.25">
      <c r="B14" s="563" t="s">
        <v>2361</v>
      </c>
      <c r="C14" s="562" t="s">
        <v>2360</v>
      </c>
      <c r="D14" s="562">
        <v>500</v>
      </c>
      <c r="E14" s="542"/>
      <c r="F14" s="1178">
        <f t="shared" si="0"/>
        <v>0</v>
      </c>
      <c r="G14" s="1178">
        <f t="shared" si="1"/>
        <v>0</v>
      </c>
      <c r="L14" s="358"/>
      <c r="M14" s="279"/>
      <c r="N14" s="279"/>
      <c r="O14" s="215"/>
      <c r="P14" s="369"/>
      <c r="Q14" s="215"/>
      <c r="R14" s="215"/>
    </row>
    <row r="15" spans="2:18" x14ac:dyDescent="0.25">
      <c r="B15" s="548" t="s">
        <v>2363</v>
      </c>
      <c r="C15" s="547" t="s">
        <v>2362</v>
      </c>
      <c r="D15" s="547">
        <v>1000</v>
      </c>
      <c r="E15" s="542"/>
      <c r="F15" s="1178">
        <f t="shared" si="0"/>
        <v>0</v>
      </c>
      <c r="G15" s="1178">
        <f t="shared" si="1"/>
        <v>0</v>
      </c>
      <c r="L15" s="1569" t="s">
        <v>2120</v>
      </c>
      <c r="M15" s="1573"/>
      <c r="N15" s="1573"/>
      <c r="O15" s="1573"/>
      <c r="P15" s="1574"/>
      <c r="Q15" s="215"/>
      <c r="R15" s="215"/>
    </row>
    <row r="16" spans="2:18" x14ac:dyDescent="0.25">
      <c r="B16" s="553" t="s">
        <v>2365</v>
      </c>
      <c r="C16" s="552" t="s">
        <v>2364</v>
      </c>
      <c r="D16" s="552">
        <v>5000</v>
      </c>
      <c r="E16" s="542"/>
      <c r="F16" s="552">
        <f t="shared" si="0"/>
        <v>0</v>
      </c>
      <c r="G16" s="552">
        <f t="shared" si="1"/>
        <v>0</v>
      </c>
      <c r="L16" s="1575"/>
      <c r="M16" s="1573"/>
      <c r="N16" s="1573"/>
      <c r="O16" s="1573"/>
      <c r="P16" s="1574"/>
      <c r="Q16" s="215"/>
      <c r="R16" s="215"/>
    </row>
    <row r="17" spans="2:20" x14ac:dyDescent="0.25">
      <c r="B17" s="551" t="s">
        <v>2367</v>
      </c>
      <c r="C17" s="550" t="s">
        <v>2366</v>
      </c>
      <c r="D17" s="550">
        <v>5000</v>
      </c>
      <c r="E17" s="556"/>
      <c r="F17" s="1179">
        <f t="shared" si="0"/>
        <v>0</v>
      </c>
      <c r="G17" s="552">
        <f t="shared" si="1"/>
        <v>0</v>
      </c>
      <c r="L17" s="1575"/>
      <c r="M17" s="1573"/>
      <c r="N17" s="1573"/>
      <c r="O17" s="1573"/>
      <c r="P17" s="1574"/>
      <c r="Q17" s="215"/>
      <c r="R17" s="215"/>
    </row>
    <row r="18" spans="2:20" x14ac:dyDescent="0.25">
      <c r="B18" s="559" t="s">
        <v>2369</v>
      </c>
      <c r="C18" s="557" t="s">
        <v>1920</v>
      </c>
      <c r="D18" s="558">
        <v>10000</v>
      </c>
      <c r="E18" s="1180"/>
      <c r="F18" s="1181">
        <f t="shared" si="0"/>
        <v>0</v>
      </c>
      <c r="G18" s="1182">
        <f t="shared" si="1"/>
        <v>0</v>
      </c>
      <c r="L18" s="358"/>
      <c r="M18" s="279"/>
      <c r="N18" s="279"/>
      <c r="O18" s="215"/>
      <c r="P18" s="369"/>
      <c r="Q18" s="215"/>
      <c r="R18" s="215"/>
    </row>
    <row r="19" spans="2:20" x14ac:dyDescent="0.25">
      <c r="B19" s="554" t="s">
        <v>3016</v>
      </c>
      <c r="D19" s="546"/>
      <c r="E19" s="555" t="s">
        <v>2368</v>
      </c>
      <c r="F19" s="555" t="str">
        <f>INT(SUM(F4:F17))&amp;" BUCs"</f>
        <v>0 BUCs</v>
      </c>
      <c r="G19" s="555" t="str">
        <f>INT(SUM(G4:G17))&amp;" lbs."</f>
        <v>0 lbs.</v>
      </c>
      <c r="L19" s="378" t="s">
        <v>2001</v>
      </c>
      <c r="M19" s="276" t="s">
        <v>1996</v>
      </c>
      <c r="N19" s="276" t="s">
        <v>1997</v>
      </c>
      <c r="O19" s="276" t="s">
        <v>2116</v>
      </c>
      <c r="P19" s="369"/>
      <c r="Q19" s="215"/>
      <c r="R19" s="215"/>
    </row>
    <row r="20" spans="2:20" x14ac:dyDescent="0.25">
      <c r="D20" s="534"/>
      <c r="E20" s="535"/>
      <c r="F20" s="535"/>
      <c r="G20" s="535"/>
      <c r="H20" s="535"/>
      <c r="L20" s="358" t="s">
        <v>1998</v>
      </c>
      <c r="M20" s="279">
        <v>16</v>
      </c>
      <c r="N20" s="279">
        <v>10</v>
      </c>
      <c r="O20" s="279">
        <v>12</v>
      </c>
      <c r="P20" s="351" t="s">
        <v>2125</v>
      </c>
      <c r="R20" s="215"/>
    </row>
    <row r="21" spans="2:20" x14ac:dyDescent="0.25">
      <c r="B21" s="569" t="s">
        <v>2373</v>
      </c>
      <c r="C21" s="569"/>
      <c r="D21" s="569"/>
      <c r="E21" s="523"/>
      <c r="L21" s="358" t="s">
        <v>1999</v>
      </c>
      <c r="M21" s="279">
        <v>24</v>
      </c>
      <c r="N21" s="279">
        <v>15</v>
      </c>
      <c r="O21" s="279">
        <v>18</v>
      </c>
      <c r="P21" s="351" t="s">
        <v>2126</v>
      </c>
      <c r="R21" s="215"/>
    </row>
    <row r="22" spans="2:20" x14ac:dyDescent="0.25">
      <c r="B22" s="528" t="s">
        <v>53</v>
      </c>
      <c r="C22" s="527" t="s">
        <v>135</v>
      </c>
      <c r="D22" s="527" t="s">
        <v>2374</v>
      </c>
      <c r="E22" s="570" t="s">
        <v>2375</v>
      </c>
      <c r="F22" s="331"/>
      <c r="G22" s="331"/>
      <c r="H22" s="331"/>
      <c r="I22" s="331"/>
      <c r="L22" s="358" t="s">
        <v>2000</v>
      </c>
      <c r="M22" s="279">
        <v>32</v>
      </c>
      <c r="N22" s="279">
        <v>20</v>
      </c>
      <c r="O22" s="279">
        <v>24</v>
      </c>
      <c r="P22" s="351" t="s">
        <v>2128</v>
      </c>
    </row>
    <row r="23" spans="2:20" x14ac:dyDescent="0.25">
      <c r="B23" s="532" t="s">
        <v>2341</v>
      </c>
      <c r="C23" s="1167" t="s">
        <v>2340</v>
      </c>
      <c r="D23" s="1164">
        <v>0.01</v>
      </c>
      <c r="E23" s="1680" t="s">
        <v>2376</v>
      </c>
      <c r="F23" s="1518"/>
      <c r="G23" s="1518"/>
      <c r="H23" s="1518"/>
      <c r="I23" s="1679"/>
      <c r="L23" s="381"/>
      <c r="M23" s="245"/>
      <c r="N23" s="245"/>
      <c r="O23" s="215"/>
      <c r="P23" s="369"/>
      <c r="Q23" s="215"/>
    </row>
    <row r="24" spans="2:20" x14ac:dyDescent="0.25">
      <c r="B24" s="529" t="s">
        <v>2343</v>
      </c>
      <c r="C24" s="1157" t="s">
        <v>2342</v>
      </c>
      <c r="D24" s="1158">
        <v>0.05</v>
      </c>
      <c r="E24" s="1678" t="s">
        <v>2376</v>
      </c>
      <c r="F24" s="1518"/>
      <c r="G24" s="1518"/>
      <c r="H24" s="1518"/>
      <c r="I24" s="1679"/>
      <c r="L24" s="379" t="s">
        <v>2121</v>
      </c>
      <c r="O24" s="215"/>
      <c r="P24" s="380"/>
    </row>
    <row r="25" spans="2:20" x14ac:dyDescent="0.25">
      <c r="B25" s="530" t="s">
        <v>2345</v>
      </c>
      <c r="C25" s="1159" t="s">
        <v>2344</v>
      </c>
      <c r="D25" s="1160">
        <v>0.1</v>
      </c>
      <c r="E25" s="1681" t="s">
        <v>2376</v>
      </c>
      <c r="F25" s="1518"/>
      <c r="G25" s="1518"/>
      <c r="H25" s="1518"/>
      <c r="I25" s="1679"/>
      <c r="L25" s="377"/>
      <c r="O25" s="229"/>
      <c r="P25" s="380"/>
    </row>
    <row r="26" spans="2:20" x14ac:dyDescent="0.25">
      <c r="B26" s="531" t="s">
        <v>2347</v>
      </c>
      <c r="C26" s="1161" t="s">
        <v>2346</v>
      </c>
      <c r="D26" s="1162">
        <v>0.25</v>
      </c>
      <c r="E26" s="1681" t="s">
        <v>2377</v>
      </c>
      <c r="F26" s="1518"/>
      <c r="G26" s="1518"/>
      <c r="H26" s="1518"/>
      <c r="I26" s="1679"/>
      <c r="L26" s="1576" t="s">
        <v>2122</v>
      </c>
      <c r="M26" s="1577"/>
      <c r="N26" s="1577"/>
      <c r="O26" s="1577"/>
      <c r="P26" s="1578"/>
      <c r="R26" s="215"/>
    </row>
    <row r="27" spans="2:20" x14ac:dyDescent="0.25">
      <c r="B27" s="532" t="s">
        <v>2349</v>
      </c>
      <c r="C27" s="1163" t="s">
        <v>2348</v>
      </c>
      <c r="D27" s="1164">
        <v>0.5</v>
      </c>
      <c r="E27" s="1678" t="s">
        <v>2378</v>
      </c>
      <c r="F27" s="1518"/>
      <c r="G27" s="1518"/>
      <c r="H27" s="1518"/>
      <c r="I27" s="1679"/>
      <c r="L27" s="1579"/>
      <c r="M27" s="1577"/>
      <c r="N27" s="1577"/>
      <c r="O27" s="1577"/>
      <c r="P27" s="1578"/>
      <c r="R27" s="215"/>
    </row>
    <row r="28" spans="2:20" x14ac:dyDescent="0.25">
      <c r="B28" s="529" t="s">
        <v>2351</v>
      </c>
      <c r="C28" s="1157" t="s">
        <v>2350</v>
      </c>
      <c r="D28" s="1158">
        <v>1</v>
      </c>
      <c r="E28" s="1678" t="s">
        <v>2378</v>
      </c>
      <c r="F28" s="1518"/>
      <c r="G28" s="1518"/>
      <c r="H28" s="1518"/>
      <c r="I28" s="1679"/>
      <c r="L28" s="1579"/>
      <c r="M28" s="1577"/>
      <c r="N28" s="1577"/>
      <c r="O28" s="1577"/>
      <c r="P28" s="1578"/>
      <c r="Q28" s="215"/>
      <c r="R28" s="215"/>
    </row>
    <row r="29" spans="2:20" ht="15.75" thickBot="1" x14ac:dyDescent="0.3">
      <c r="B29" s="530" t="s">
        <v>2353</v>
      </c>
      <c r="C29" s="1165" t="s">
        <v>2352</v>
      </c>
      <c r="D29" s="1160">
        <v>5</v>
      </c>
      <c r="E29" s="1681" t="s">
        <v>2378</v>
      </c>
      <c r="F29" s="1518"/>
      <c r="G29" s="1518"/>
      <c r="H29" s="1518"/>
      <c r="I29" s="1679"/>
      <c r="L29" s="388" t="s">
        <v>2124</v>
      </c>
      <c r="M29" s="385"/>
      <c r="N29" s="385"/>
      <c r="O29" s="385"/>
      <c r="P29" s="386"/>
      <c r="Q29" s="215"/>
      <c r="R29" s="215"/>
    </row>
    <row r="30" spans="2:20" ht="15.75" thickBot="1" x14ac:dyDescent="0.3">
      <c r="B30" s="531" t="s">
        <v>2355</v>
      </c>
      <c r="C30" s="1166" t="s">
        <v>2354</v>
      </c>
      <c r="D30" s="1162">
        <v>10</v>
      </c>
      <c r="E30" s="1681" t="s">
        <v>2379</v>
      </c>
      <c r="F30" s="1518"/>
      <c r="G30" s="1518"/>
      <c r="H30" s="1518"/>
      <c r="I30" s="1679"/>
      <c r="L30" s="229"/>
      <c r="M30" s="229"/>
      <c r="N30" s="229"/>
      <c r="O30" s="229"/>
      <c r="P30" s="229"/>
      <c r="Q30" s="215"/>
      <c r="R30" s="215"/>
    </row>
    <row r="31" spans="2:20" x14ac:dyDescent="0.25">
      <c r="B31" s="532" t="s">
        <v>2357</v>
      </c>
      <c r="C31" s="1167" t="s">
        <v>2356</v>
      </c>
      <c r="D31" s="1164">
        <v>50</v>
      </c>
      <c r="E31" s="1678" t="s">
        <v>2379</v>
      </c>
      <c r="F31" s="1518"/>
      <c r="G31" s="1518"/>
      <c r="H31" s="1518"/>
      <c r="I31" s="1679"/>
      <c r="L31" s="376" t="s">
        <v>2112</v>
      </c>
      <c r="M31" s="367"/>
      <c r="N31" s="367"/>
      <c r="O31" s="367"/>
      <c r="P31" s="368"/>
      <c r="Q31" s="215"/>
      <c r="R31" s="215"/>
      <c r="S31"/>
      <c r="T31"/>
    </row>
    <row r="32" spans="2:20" x14ac:dyDescent="0.25">
      <c r="B32" s="532" t="s">
        <v>2359</v>
      </c>
      <c r="C32" s="1167" t="s">
        <v>2358</v>
      </c>
      <c r="D32" s="1164">
        <v>100</v>
      </c>
      <c r="E32" s="1678" t="s">
        <v>2379</v>
      </c>
      <c r="F32" s="1518"/>
      <c r="G32" s="1518"/>
      <c r="H32" s="1518"/>
      <c r="I32" s="1679"/>
      <c r="L32" s="1569" t="s">
        <v>2117</v>
      </c>
      <c r="M32" s="1580"/>
      <c r="N32" s="1580"/>
      <c r="O32" s="1580"/>
      <c r="P32" s="1581"/>
      <c r="Q32" s="215"/>
      <c r="R32" s="215"/>
      <c r="S32"/>
      <c r="T32"/>
    </row>
    <row r="33" spans="2:20" x14ac:dyDescent="0.25">
      <c r="B33" s="531" t="s">
        <v>2361</v>
      </c>
      <c r="C33" s="1166" t="s">
        <v>2360</v>
      </c>
      <c r="D33" s="1162">
        <v>500</v>
      </c>
      <c r="E33" s="1681" t="s">
        <v>2380</v>
      </c>
      <c r="F33" s="1518"/>
      <c r="G33" s="1518"/>
      <c r="H33" s="1518"/>
      <c r="I33" s="1679"/>
      <c r="L33" s="1582"/>
      <c r="M33" s="1580"/>
      <c r="N33" s="1580"/>
      <c r="O33" s="1580"/>
      <c r="P33" s="1581"/>
      <c r="Q33" s="215"/>
      <c r="R33" s="215"/>
      <c r="S33" s="373"/>
      <c r="T33" s="373"/>
    </row>
    <row r="34" spans="2:20" x14ac:dyDescent="0.25">
      <c r="B34" s="531" t="s">
        <v>2363</v>
      </c>
      <c r="C34" s="1166" t="s">
        <v>2362</v>
      </c>
      <c r="D34" s="1162">
        <v>1000</v>
      </c>
      <c r="E34" s="1681" t="s">
        <v>2380</v>
      </c>
      <c r="F34" s="1518"/>
      <c r="G34" s="1518"/>
      <c r="H34" s="1518"/>
      <c r="I34" s="1679"/>
      <c r="L34" s="1582"/>
      <c r="M34" s="1580"/>
      <c r="N34" s="1580"/>
      <c r="O34" s="1580"/>
      <c r="P34" s="1581"/>
      <c r="Q34" s="215"/>
      <c r="R34" s="215"/>
    </row>
    <row r="35" spans="2:20" x14ac:dyDescent="0.25">
      <c r="B35" s="533" t="s">
        <v>2365</v>
      </c>
      <c r="C35" s="1168" t="s">
        <v>2364</v>
      </c>
      <c r="D35" s="1169">
        <v>5000</v>
      </c>
      <c r="E35" s="1678" t="s">
        <v>2381</v>
      </c>
      <c r="F35" s="1518"/>
      <c r="G35" s="1518"/>
      <c r="H35" s="1518"/>
      <c r="I35" s="1679"/>
      <c r="L35" s="1582"/>
      <c r="M35" s="1580"/>
      <c r="N35" s="1580"/>
      <c r="O35" s="1580"/>
      <c r="P35" s="1581"/>
      <c r="Q35" s="215"/>
    </row>
    <row r="36" spans="2:20" x14ac:dyDescent="0.25">
      <c r="B36" s="532" t="s">
        <v>2367</v>
      </c>
      <c r="C36" s="1167" t="s">
        <v>2366</v>
      </c>
      <c r="D36" s="1164">
        <v>5000</v>
      </c>
      <c r="E36" s="1678" t="s">
        <v>2382</v>
      </c>
      <c r="F36" s="1518"/>
      <c r="G36" s="1518"/>
      <c r="H36" s="1518"/>
      <c r="I36" s="1679"/>
      <c r="L36" s="377"/>
      <c r="M36" s="245"/>
      <c r="N36" s="245"/>
      <c r="O36" s="215"/>
      <c r="P36" s="369"/>
      <c r="Q36" s="215"/>
    </row>
    <row r="37" spans="2:20" x14ac:dyDescent="0.25">
      <c r="B37" s="536" t="s">
        <v>2369</v>
      </c>
      <c r="C37" s="1170" t="s">
        <v>1920</v>
      </c>
      <c r="D37" s="1171">
        <v>10000</v>
      </c>
      <c r="E37" s="1682" t="s">
        <v>2383</v>
      </c>
      <c r="F37" s="1518"/>
      <c r="G37" s="1518"/>
      <c r="H37" s="1518"/>
      <c r="I37" s="1679"/>
      <c r="L37" s="378" t="s">
        <v>2111</v>
      </c>
      <c r="M37" s="375" t="s">
        <v>1996</v>
      </c>
      <c r="N37" s="375" t="s">
        <v>1997</v>
      </c>
      <c r="O37" s="375" t="s">
        <v>2116</v>
      </c>
      <c r="P37" s="380"/>
    </row>
    <row r="38" spans="2:20" x14ac:dyDescent="0.25">
      <c r="B38" s="571" t="s">
        <v>2384</v>
      </c>
      <c r="C38" s="1172" t="s">
        <v>1920</v>
      </c>
      <c r="D38" s="1173">
        <v>12000</v>
      </c>
      <c r="E38" s="1682" t="s">
        <v>2385</v>
      </c>
      <c r="F38" s="1518"/>
      <c r="G38" s="1518"/>
      <c r="H38" s="1518"/>
      <c r="I38" s="1679"/>
      <c r="L38" s="381" t="s">
        <v>1998</v>
      </c>
      <c r="M38" s="382">
        <v>9</v>
      </c>
      <c r="N38" s="382">
        <v>9</v>
      </c>
      <c r="O38" s="382">
        <v>15</v>
      </c>
      <c r="P38" s="351" t="s">
        <v>2125</v>
      </c>
    </row>
    <row r="39" spans="2:20" x14ac:dyDescent="0.25">
      <c r="B39" s="531" t="s">
        <v>2386</v>
      </c>
      <c r="C39" s="1174" t="s">
        <v>1920</v>
      </c>
      <c r="D39" s="1162">
        <v>12000</v>
      </c>
      <c r="E39" s="1681" t="s">
        <v>2387</v>
      </c>
      <c r="F39" s="1518"/>
      <c r="G39" s="1518"/>
      <c r="H39" s="1518"/>
      <c r="I39" s="1679"/>
      <c r="L39" s="381" t="s">
        <v>1999</v>
      </c>
      <c r="M39" s="382">
        <v>13</v>
      </c>
      <c r="N39" s="382">
        <v>13</v>
      </c>
      <c r="O39" s="382">
        <v>20</v>
      </c>
      <c r="P39" s="351" t="s">
        <v>2126</v>
      </c>
    </row>
    <row r="40" spans="2:20" x14ac:dyDescent="0.25">
      <c r="B40" s="572" t="s">
        <v>2388</v>
      </c>
      <c r="C40" s="1174" t="s">
        <v>1920</v>
      </c>
      <c r="D40" s="1175">
        <v>20000</v>
      </c>
      <c r="E40" s="1681" t="s">
        <v>2389</v>
      </c>
      <c r="F40" s="1518"/>
      <c r="G40" s="1518"/>
      <c r="H40" s="1518"/>
      <c r="I40" s="1679"/>
      <c r="L40" s="381" t="s">
        <v>2000</v>
      </c>
      <c r="M40" s="382">
        <v>17</v>
      </c>
      <c r="N40" s="382">
        <v>17</v>
      </c>
      <c r="O40" s="382">
        <v>25</v>
      </c>
      <c r="P40" s="351" t="s">
        <v>2128</v>
      </c>
      <c r="R40"/>
    </row>
    <row r="41" spans="2:20" x14ac:dyDescent="0.25">
      <c r="B41" s="571" t="s">
        <v>2390</v>
      </c>
      <c r="C41" s="1172" t="s">
        <v>1920</v>
      </c>
      <c r="D41" s="1173">
        <v>25000</v>
      </c>
      <c r="E41" s="1682" t="s">
        <v>2391</v>
      </c>
      <c r="F41" s="1518"/>
      <c r="G41" s="1518"/>
      <c r="H41" s="1518"/>
      <c r="I41" s="1679"/>
      <c r="L41" s="377"/>
      <c r="P41" s="380"/>
      <c r="R41"/>
    </row>
    <row r="42" spans="2:20" x14ac:dyDescent="0.25">
      <c r="B42" s="571" t="s">
        <v>2392</v>
      </c>
      <c r="C42" s="1172" t="s">
        <v>1920</v>
      </c>
      <c r="D42" s="1173">
        <v>50000</v>
      </c>
      <c r="E42" s="1682" t="s">
        <v>3157</v>
      </c>
      <c r="F42" s="1518"/>
      <c r="G42" s="1518"/>
      <c r="H42" s="1518"/>
      <c r="I42" s="1679"/>
      <c r="L42" s="379" t="s">
        <v>2127</v>
      </c>
      <c r="M42" s="215"/>
      <c r="N42" s="215"/>
      <c r="O42" s="215"/>
      <c r="P42" s="369"/>
      <c r="Q42"/>
      <c r="R42" s="373"/>
    </row>
    <row r="43" spans="2:20" ht="15.75" thickBot="1" x14ac:dyDescent="0.3">
      <c r="B43" s="573" t="s">
        <v>2393</v>
      </c>
      <c r="C43" s="574" t="s">
        <v>1920</v>
      </c>
      <c r="D43" s="574" t="s">
        <v>2394</v>
      </c>
      <c r="E43" s="1683" t="s">
        <v>2395</v>
      </c>
      <c r="F43" s="1499"/>
      <c r="G43" s="1499"/>
      <c r="H43" s="1499"/>
      <c r="I43" s="1684"/>
      <c r="L43" s="388" t="s">
        <v>2123</v>
      </c>
      <c r="M43" s="387"/>
      <c r="N43" s="387"/>
      <c r="O43" s="387"/>
      <c r="P43" s="370"/>
      <c r="Q43"/>
    </row>
    <row r="44" spans="2:20" x14ac:dyDescent="0.25">
      <c r="L44" s="374"/>
      <c r="M44" s="373"/>
      <c r="N44" s="373"/>
      <c r="O44" s="373"/>
      <c r="P44" s="373"/>
      <c r="Q44" s="373"/>
    </row>
    <row r="45" spans="2:20" ht="15.75" x14ac:dyDescent="0.25">
      <c r="B45" s="958" t="s">
        <v>3162</v>
      </c>
    </row>
    <row r="47" spans="2:20" ht="15.75" thickBot="1" x14ac:dyDescent="0.3">
      <c r="B47" s="391" t="s">
        <v>2129</v>
      </c>
      <c r="C47" s="391"/>
      <c r="D47" s="391"/>
      <c r="E47" s="392"/>
      <c r="F47" s="392"/>
      <c r="G47"/>
      <c r="H47"/>
    </row>
    <row r="48" spans="2:20" ht="15.75" thickBot="1" x14ac:dyDescent="0.3">
      <c r="B48" s="393" t="s">
        <v>2130</v>
      </c>
      <c r="C48" s="394" t="s">
        <v>2131</v>
      </c>
      <c r="D48" s="393" t="s">
        <v>2132</v>
      </c>
      <c r="E48" s="394" t="s">
        <v>2133</v>
      </c>
      <c r="F48" s="393" t="s">
        <v>2134</v>
      </c>
      <c r="G48" s="393" t="s">
        <v>2135</v>
      </c>
      <c r="H48" s="393" t="s">
        <v>2136</v>
      </c>
      <c r="J48"/>
    </row>
    <row r="49" spans="2:11" x14ac:dyDescent="0.25">
      <c r="B49" s="395" t="s">
        <v>2137</v>
      </c>
      <c r="C49" s="396" t="s">
        <v>2138</v>
      </c>
      <c r="D49" s="395" t="s">
        <v>1767</v>
      </c>
      <c r="E49" s="396" t="s">
        <v>2139</v>
      </c>
      <c r="F49" s="395" t="s">
        <v>2140</v>
      </c>
      <c r="G49" s="395" t="s">
        <v>1920</v>
      </c>
      <c r="H49" s="397" t="s">
        <v>1751</v>
      </c>
      <c r="J49" s="516"/>
      <c r="K49"/>
    </row>
    <row r="50" spans="2:11" x14ac:dyDescent="0.25">
      <c r="B50" s="398" t="s">
        <v>2141</v>
      </c>
      <c r="C50" s="399" t="s">
        <v>2142</v>
      </c>
      <c r="D50" s="398" t="s">
        <v>1769</v>
      </c>
      <c r="E50" s="399" t="s">
        <v>2143</v>
      </c>
      <c r="F50" s="398" t="s">
        <v>2144</v>
      </c>
      <c r="G50" s="398" t="s">
        <v>2145</v>
      </c>
      <c r="H50" s="400" t="s">
        <v>2070</v>
      </c>
      <c r="J50" s="517"/>
      <c r="K50" s="516"/>
    </row>
    <row r="51" spans="2:11" x14ac:dyDescent="0.25">
      <c r="B51" s="395" t="s">
        <v>2146</v>
      </c>
      <c r="C51" s="396" t="s">
        <v>1761</v>
      </c>
      <c r="D51" s="395" t="s">
        <v>1771</v>
      </c>
      <c r="E51" s="396" t="s">
        <v>2147</v>
      </c>
      <c r="F51" s="395" t="s">
        <v>2145</v>
      </c>
      <c r="G51" s="395">
        <v>1</v>
      </c>
      <c r="H51" s="397" t="s">
        <v>1753</v>
      </c>
      <c r="J51" s="400"/>
      <c r="K51" s="517"/>
    </row>
    <row r="52" spans="2:11" x14ac:dyDescent="0.25">
      <c r="B52" s="398" t="s">
        <v>2148</v>
      </c>
      <c r="C52" s="399" t="s">
        <v>2149</v>
      </c>
      <c r="D52" s="398" t="s">
        <v>1773</v>
      </c>
      <c r="E52" s="399" t="s">
        <v>2150</v>
      </c>
      <c r="F52" s="398" t="s">
        <v>2151</v>
      </c>
      <c r="G52" s="398">
        <v>2</v>
      </c>
      <c r="H52" s="400" t="s">
        <v>2104</v>
      </c>
      <c r="J52" s="517"/>
      <c r="K52" s="400"/>
    </row>
    <row r="53" spans="2:11" x14ac:dyDescent="0.25">
      <c r="B53" s="395" t="s">
        <v>2152</v>
      </c>
      <c r="C53" s="396" t="s">
        <v>2153</v>
      </c>
      <c r="D53" s="395" t="s">
        <v>1775</v>
      </c>
      <c r="E53" s="396" t="s">
        <v>2154</v>
      </c>
      <c r="F53" s="401" t="s">
        <v>2155</v>
      </c>
      <c r="G53" s="395">
        <v>2</v>
      </c>
      <c r="H53" s="402" t="s">
        <v>2071</v>
      </c>
      <c r="J53" s="400"/>
      <c r="K53" s="517"/>
    </row>
    <row r="54" spans="2:11" x14ac:dyDescent="0.25">
      <c r="B54" s="398" t="s">
        <v>2156</v>
      </c>
      <c r="C54" s="399" t="s">
        <v>2157</v>
      </c>
      <c r="D54" s="398" t="s">
        <v>1851</v>
      </c>
      <c r="E54" s="399" t="s">
        <v>2158</v>
      </c>
      <c r="F54" s="403" t="s">
        <v>2159</v>
      </c>
      <c r="G54" s="398">
        <v>3</v>
      </c>
      <c r="H54" s="404" t="s">
        <v>1756</v>
      </c>
      <c r="J54" s="404"/>
      <c r="K54" s="400"/>
    </row>
    <row r="55" spans="2:11" x14ac:dyDescent="0.25">
      <c r="B55" s="405" t="s">
        <v>2160</v>
      </c>
      <c r="C55" s="405"/>
      <c r="D55" s="406"/>
      <c r="E55" s="406"/>
      <c r="F55" s="406"/>
      <c r="G55" s="407"/>
      <c r="H55" s="407"/>
      <c r="J55" s="404"/>
      <c r="K55" s="404"/>
    </row>
    <row r="56" spans="2:11" x14ac:dyDescent="0.25">
      <c r="B56" s="405" t="s">
        <v>2161</v>
      </c>
      <c r="C56" s="405"/>
      <c r="D56" s="406"/>
      <c r="E56" s="406"/>
      <c r="F56" s="407"/>
      <c r="G56" s="407"/>
      <c r="H56" s="407"/>
      <c r="J56" s="407"/>
      <c r="K56" s="404"/>
    </row>
    <row r="57" spans="2:11" x14ac:dyDescent="0.25">
      <c r="J57" s="407"/>
      <c r="K57" s="407"/>
    </row>
    <row r="58" spans="2:11" x14ac:dyDescent="0.25">
      <c r="K58" s="407"/>
    </row>
    <row r="59" spans="2:11" x14ac:dyDescent="0.25">
      <c r="B59" s="408" t="s">
        <v>2199</v>
      </c>
      <c r="C59" s="408"/>
      <c r="E59" s="314" t="s">
        <v>3010</v>
      </c>
    </row>
    <row r="60" spans="2:11" x14ac:dyDescent="0.25">
      <c r="B60" s="409" t="s">
        <v>2130</v>
      </c>
      <c r="C60" s="410" t="s">
        <v>2162</v>
      </c>
      <c r="E60" s="314" t="s">
        <v>3163</v>
      </c>
    </row>
    <row r="61" spans="2:11" x14ac:dyDescent="0.25">
      <c r="B61" s="395" t="s">
        <v>2163</v>
      </c>
      <c r="C61" s="396" t="s">
        <v>2164</v>
      </c>
      <c r="E61" s="245" t="s">
        <v>3160</v>
      </c>
    </row>
    <row r="62" spans="2:11" x14ac:dyDescent="0.25">
      <c r="B62" s="398" t="s">
        <v>2165</v>
      </c>
      <c r="C62" s="399" t="s">
        <v>2166</v>
      </c>
      <c r="E62" s="314" t="s">
        <v>3164</v>
      </c>
      <c r="J62" s="338"/>
    </row>
    <row r="63" spans="2:11" x14ac:dyDescent="0.25">
      <c r="B63" s="395" t="s">
        <v>2167</v>
      </c>
      <c r="C63" s="396" t="s">
        <v>2168</v>
      </c>
      <c r="E63" s="245" t="s">
        <v>3167</v>
      </c>
      <c r="J63" s="336"/>
      <c r="K63" s="338"/>
    </row>
    <row r="64" spans="2:11" x14ac:dyDescent="0.25">
      <c r="B64"/>
      <c r="C64"/>
      <c r="E64" s="245" t="s">
        <v>3166</v>
      </c>
      <c r="K64" s="336"/>
    </row>
    <row r="65" spans="2:21" x14ac:dyDescent="0.25">
      <c r="B65" s="411" t="s">
        <v>3158</v>
      </c>
      <c r="C65" s="411"/>
      <c r="E65" s="314" t="s">
        <v>3165</v>
      </c>
    </row>
    <row r="66" spans="2:21" x14ac:dyDescent="0.25">
      <c r="B66" s="411" t="s">
        <v>2169</v>
      </c>
      <c r="C66" s="411"/>
      <c r="E66" s="245" t="s">
        <v>3159</v>
      </c>
    </row>
    <row r="69" spans="2:21" x14ac:dyDescent="0.25">
      <c r="B69" s="408" t="s">
        <v>2170</v>
      </c>
      <c r="C69" s="412"/>
      <c r="D69" s="412"/>
      <c r="E69"/>
      <c r="F69"/>
      <c r="G69"/>
    </row>
    <row r="70" spans="2:21" x14ac:dyDescent="0.25">
      <c r="B70" s="409" t="s">
        <v>2130</v>
      </c>
      <c r="C70" s="410" t="s">
        <v>2171</v>
      </c>
      <c r="D70" s="413" t="s">
        <v>2172</v>
      </c>
      <c r="E70" s="409" t="s">
        <v>2173</v>
      </c>
      <c r="F70" s="414" t="s">
        <v>2174</v>
      </c>
      <c r="G70" s="415" t="s">
        <v>2175</v>
      </c>
    </row>
    <row r="71" spans="2:21" x14ac:dyDescent="0.25">
      <c r="B71" s="416" t="s">
        <v>2137</v>
      </c>
      <c r="C71" s="417" t="s">
        <v>2176</v>
      </c>
      <c r="D71" s="418" t="s">
        <v>2177</v>
      </c>
      <c r="E71" s="395">
        <v>6.25E-2</v>
      </c>
      <c r="F71" s="419">
        <v>2</v>
      </c>
      <c r="G71" s="419">
        <v>5</v>
      </c>
    </row>
    <row r="72" spans="2:21" x14ac:dyDescent="0.25">
      <c r="B72" s="420" t="s">
        <v>2141</v>
      </c>
      <c r="C72" s="421" t="s">
        <v>2178</v>
      </c>
      <c r="D72" s="421" t="s">
        <v>2179</v>
      </c>
      <c r="E72" s="398">
        <v>0.25</v>
      </c>
      <c r="F72" s="422">
        <v>5</v>
      </c>
      <c r="G72" s="422">
        <v>10</v>
      </c>
    </row>
    <row r="73" spans="2:21" x14ac:dyDescent="0.25">
      <c r="B73" s="416" t="s">
        <v>2146</v>
      </c>
      <c r="C73" s="417" t="s">
        <v>2180</v>
      </c>
      <c r="D73" s="418" t="s">
        <v>2145</v>
      </c>
      <c r="E73" s="395">
        <v>1</v>
      </c>
      <c r="F73" s="419">
        <v>10</v>
      </c>
      <c r="G73" s="419">
        <v>20</v>
      </c>
    </row>
    <row r="74" spans="2:21" s="337" customFormat="1" x14ac:dyDescent="0.25">
      <c r="B74" s="420" t="s">
        <v>2148</v>
      </c>
      <c r="C74" s="421" t="s">
        <v>2149</v>
      </c>
      <c r="D74" s="421" t="s">
        <v>2181</v>
      </c>
      <c r="E74" s="398">
        <v>4</v>
      </c>
      <c r="F74" s="422">
        <v>20</v>
      </c>
      <c r="G74" s="422">
        <v>40</v>
      </c>
      <c r="I74" s="314"/>
      <c r="J74" s="314"/>
      <c r="K74" s="314"/>
      <c r="L74" s="314"/>
      <c r="M74" s="314"/>
      <c r="N74" s="314"/>
      <c r="O74" s="314"/>
      <c r="P74" s="314"/>
      <c r="Q74" s="314"/>
      <c r="R74" s="314"/>
      <c r="S74" s="314"/>
      <c r="T74" s="314"/>
      <c r="U74" s="314"/>
    </row>
    <row r="75" spans="2:21" x14ac:dyDescent="0.25">
      <c r="B75" s="416" t="s">
        <v>2152</v>
      </c>
      <c r="C75" s="417" t="s">
        <v>2182</v>
      </c>
      <c r="D75" s="418" t="s">
        <v>2183</v>
      </c>
      <c r="E75" s="395">
        <v>16</v>
      </c>
      <c r="F75" s="423">
        <v>30</v>
      </c>
      <c r="G75" s="423">
        <v>60</v>
      </c>
    </row>
    <row r="76" spans="2:21" x14ac:dyDescent="0.25">
      <c r="B76" s="420" t="s">
        <v>2156</v>
      </c>
      <c r="C76" s="421" t="s">
        <v>2184</v>
      </c>
      <c r="D76" s="421" t="s">
        <v>3161</v>
      </c>
      <c r="E76" s="398">
        <v>64</v>
      </c>
      <c r="F76" s="424">
        <v>40</v>
      </c>
      <c r="G76" s="424">
        <v>80</v>
      </c>
      <c r="S76" s="337"/>
      <c r="T76" s="337"/>
      <c r="U76" s="337"/>
    </row>
    <row r="79" spans="2:21" x14ac:dyDescent="0.25">
      <c r="B79" s="215"/>
      <c r="C79" s="226"/>
      <c r="D79" s="229"/>
      <c r="E79" s="226"/>
      <c r="G79" s="226"/>
      <c r="H79" s="226"/>
    </row>
    <row r="80" spans="2:21" x14ac:dyDescent="0.25">
      <c r="B80" s="215"/>
      <c r="C80" s="226"/>
      <c r="D80" s="229"/>
      <c r="E80" s="226"/>
      <c r="G80" s="226"/>
      <c r="H80" s="226"/>
    </row>
    <row r="81" spans="2:18" x14ac:dyDescent="0.25">
      <c r="B81" s="215"/>
      <c r="C81" s="226"/>
      <c r="D81" s="229"/>
      <c r="E81" s="226"/>
      <c r="G81" s="226"/>
      <c r="H81" s="226"/>
    </row>
    <row r="82" spans="2:18" x14ac:dyDescent="0.25">
      <c r="B82" s="215"/>
      <c r="C82" s="226"/>
      <c r="D82" s="229"/>
      <c r="E82" s="226"/>
      <c r="G82" s="226"/>
      <c r="H82" s="226"/>
    </row>
    <row r="83" spans="2:18" x14ac:dyDescent="0.25">
      <c r="B83" s="215"/>
    </row>
    <row r="84" spans="2:18" x14ac:dyDescent="0.25">
      <c r="B84" s="215"/>
    </row>
    <row r="85" spans="2:18" x14ac:dyDescent="0.25">
      <c r="B85" s="215"/>
      <c r="R85" s="337"/>
    </row>
    <row r="86" spans="2:18" x14ac:dyDescent="0.25">
      <c r="B86" s="245"/>
    </row>
    <row r="87" spans="2:18" x14ac:dyDescent="0.25">
      <c r="I87" s="336"/>
      <c r="J87" s="334"/>
      <c r="L87" s="338"/>
      <c r="M87" s="337"/>
      <c r="N87" s="337"/>
      <c r="O87" s="337"/>
      <c r="P87" s="337"/>
      <c r="Q87" s="337"/>
    </row>
  </sheetData>
  <mergeCells count="25">
    <mergeCell ref="E34:I34"/>
    <mergeCell ref="E42:I42"/>
    <mergeCell ref="E43:I43"/>
    <mergeCell ref="E36:I36"/>
    <mergeCell ref="E37:I37"/>
    <mergeCell ref="E38:I38"/>
    <mergeCell ref="E39:I39"/>
    <mergeCell ref="E40:I40"/>
    <mergeCell ref="E41:I41"/>
    <mergeCell ref="L32:P35"/>
    <mergeCell ref="L4:P6"/>
    <mergeCell ref="L15:P17"/>
    <mergeCell ref="L26:P28"/>
    <mergeCell ref="E35:I35"/>
    <mergeCell ref="E23:I23"/>
    <mergeCell ref="E24:I24"/>
    <mergeCell ref="E25:I25"/>
    <mergeCell ref="E26:I26"/>
    <mergeCell ref="E27:I27"/>
    <mergeCell ref="E28:I28"/>
    <mergeCell ref="E29:I29"/>
    <mergeCell ref="E30:I30"/>
    <mergeCell ref="E31:I31"/>
    <mergeCell ref="E32:I32"/>
    <mergeCell ref="E33:I3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D5CC-DC44-49C3-9919-00B2839DB485}">
  <sheetPr>
    <tabColor rgb="FFDCF0C6"/>
  </sheetPr>
  <dimension ref="B2:AT182"/>
  <sheetViews>
    <sheetView topLeftCell="N17" zoomScaleNormal="100" workbookViewId="0">
      <selection activeCell="P68" sqref="P68"/>
    </sheetView>
  </sheetViews>
  <sheetFormatPr defaultRowHeight="12.75" x14ac:dyDescent="0.2"/>
  <cols>
    <col min="1" max="1" width="1" style="805" customWidth="1"/>
    <col min="2" max="2" width="15.625" style="805" customWidth="1"/>
    <col min="3" max="3" width="4.125" style="805" customWidth="1"/>
    <col min="4" max="4" width="9" style="805"/>
    <col min="5" max="5" width="1.875" style="805" customWidth="1"/>
    <col min="6" max="6" width="9" style="805"/>
    <col min="7" max="7" width="1.375" style="805" customWidth="1"/>
    <col min="8" max="8" width="0.75" style="805" customWidth="1"/>
    <col min="9" max="9" width="20" style="805" customWidth="1"/>
    <col min="10" max="10" width="9" style="805"/>
    <col min="11" max="11" width="1.25" style="805" customWidth="1"/>
    <col min="12" max="12" width="9" style="805"/>
    <col min="13" max="13" width="1.5" style="805" customWidth="1"/>
    <col min="14" max="15" width="0.75" style="805" customWidth="1"/>
    <col min="16" max="16" width="5.625" style="805" customWidth="1"/>
    <col min="17" max="17" width="17.875" style="805" customWidth="1"/>
    <col min="18" max="18" width="4.875" style="805" customWidth="1"/>
    <col min="19" max="19" width="7.125" style="805" customWidth="1"/>
    <col min="20" max="21" width="6.375" style="805" customWidth="1"/>
    <col min="22" max="22" width="9" style="805"/>
    <col min="23" max="23" width="6.25" style="805" customWidth="1"/>
    <col min="24" max="24" width="4.625" style="805" customWidth="1"/>
    <col min="25" max="25" width="6" style="805" customWidth="1"/>
    <col min="26" max="26" width="5.75" style="805" customWidth="1"/>
    <col min="27" max="27" width="0.875" style="805" customWidth="1"/>
    <col min="28" max="28" width="4.5" style="805" customWidth="1"/>
    <col min="29" max="29" width="5.625" style="805" customWidth="1"/>
    <col min="30" max="30" width="11.5" style="805" customWidth="1"/>
    <col min="31" max="35" width="9" style="805"/>
    <col min="36" max="36" width="13.875" style="805" customWidth="1"/>
    <col min="37" max="37" width="4.5" style="805" customWidth="1"/>
    <col min="38" max="256" width="9" style="805"/>
    <col min="257" max="257" width="1" style="805" customWidth="1"/>
    <col min="258" max="258" width="15.625" style="805" customWidth="1"/>
    <col min="259" max="259" width="4.125" style="805" customWidth="1"/>
    <col min="260" max="260" width="9" style="805"/>
    <col min="261" max="261" width="1.875" style="805" customWidth="1"/>
    <col min="262" max="262" width="9" style="805"/>
    <col min="263" max="263" width="1.375" style="805" customWidth="1"/>
    <col min="264" max="264" width="0.75" style="805" customWidth="1"/>
    <col min="265" max="265" width="20" style="805" customWidth="1"/>
    <col min="266" max="266" width="9" style="805"/>
    <col min="267" max="267" width="1.25" style="805" customWidth="1"/>
    <col min="268" max="268" width="9" style="805"/>
    <col min="269" max="269" width="1.5" style="805" customWidth="1"/>
    <col min="270" max="271" width="0.75" style="805" customWidth="1"/>
    <col min="272" max="272" width="5.625" style="805" customWidth="1"/>
    <col min="273" max="273" width="17.875" style="805" customWidth="1"/>
    <col min="274" max="274" width="4.875" style="805" customWidth="1"/>
    <col min="275" max="275" width="7.125" style="805" customWidth="1"/>
    <col min="276" max="277" width="6.375" style="805" customWidth="1"/>
    <col min="278" max="278" width="9" style="805"/>
    <col min="279" max="279" width="6.25" style="805" customWidth="1"/>
    <col min="280" max="280" width="4.625" style="805" customWidth="1"/>
    <col min="281" max="281" width="6" style="805" customWidth="1"/>
    <col min="282" max="282" width="5.75" style="805" customWidth="1"/>
    <col min="283" max="283" width="0.875" style="805" customWidth="1"/>
    <col min="284" max="284" width="4.5" style="805" customWidth="1"/>
    <col min="285" max="285" width="5.625" style="805" customWidth="1"/>
    <col min="286" max="286" width="11.5" style="805" customWidth="1"/>
    <col min="287" max="291" width="9" style="805"/>
    <col min="292" max="292" width="13.875" style="805" customWidth="1"/>
    <col min="293" max="293" width="4.5" style="805" customWidth="1"/>
    <col min="294" max="512" width="9" style="805"/>
    <col min="513" max="513" width="1" style="805" customWidth="1"/>
    <col min="514" max="514" width="15.625" style="805" customWidth="1"/>
    <col min="515" max="515" width="4.125" style="805" customWidth="1"/>
    <col min="516" max="516" width="9" style="805"/>
    <col min="517" max="517" width="1.875" style="805" customWidth="1"/>
    <col min="518" max="518" width="9" style="805"/>
    <col min="519" max="519" width="1.375" style="805" customWidth="1"/>
    <col min="520" max="520" width="0.75" style="805" customWidth="1"/>
    <col min="521" max="521" width="20" style="805" customWidth="1"/>
    <col min="522" max="522" width="9" style="805"/>
    <col min="523" max="523" width="1.25" style="805" customWidth="1"/>
    <col min="524" max="524" width="9" style="805"/>
    <col min="525" max="525" width="1.5" style="805" customWidth="1"/>
    <col min="526" max="527" width="0.75" style="805" customWidth="1"/>
    <col min="528" max="528" width="5.625" style="805" customWidth="1"/>
    <col min="529" max="529" width="17.875" style="805" customWidth="1"/>
    <col min="530" max="530" width="4.875" style="805" customWidth="1"/>
    <col min="531" max="531" width="7.125" style="805" customWidth="1"/>
    <col min="532" max="533" width="6.375" style="805" customWidth="1"/>
    <col min="534" max="534" width="9" style="805"/>
    <col min="535" max="535" width="6.25" style="805" customWidth="1"/>
    <col min="536" max="536" width="4.625" style="805" customWidth="1"/>
    <col min="537" max="537" width="6" style="805" customWidth="1"/>
    <col min="538" max="538" width="5.75" style="805" customWidth="1"/>
    <col min="539" max="539" width="0.875" style="805" customWidth="1"/>
    <col min="540" max="540" width="4.5" style="805" customWidth="1"/>
    <col min="541" max="541" width="5.625" style="805" customWidth="1"/>
    <col min="542" max="542" width="11.5" style="805" customWidth="1"/>
    <col min="543" max="547" width="9" style="805"/>
    <col min="548" max="548" width="13.875" style="805" customWidth="1"/>
    <col min="549" max="549" width="4.5" style="805" customWidth="1"/>
    <col min="550" max="768" width="9" style="805"/>
    <col min="769" max="769" width="1" style="805" customWidth="1"/>
    <col min="770" max="770" width="15.625" style="805" customWidth="1"/>
    <col min="771" max="771" width="4.125" style="805" customWidth="1"/>
    <col min="772" max="772" width="9" style="805"/>
    <col min="773" max="773" width="1.875" style="805" customWidth="1"/>
    <col min="774" max="774" width="9" style="805"/>
    <col min="775" max="775" width="1.375" style="805" customWidth="1"/>
    <col min="776" max="776" width="0.75" style="805" customWidth="1"/>
    <col min="777" max="777" width="20" style="805" customWidth="1"/>
    <col min="778" max="778" width="9" style="805"/>
    <col min="779" max="779" width="1.25" style="805" customWidth="1"/>
    <col min="780" max="780" width="9" style="805"/>
    <col min="781" max="781" width="1.5" style="805" customWidth="1"/>
    <col min="782" max="783" width="0.75" style="805" customWidth="1"/>
    <col min="784" max="784" width="5.625" style="805" customWidth="1"/>
    <col min="785" max="785" width="17.875" style="805" customWidth="1"/>
    <col min="786" max="786" width="4.875" style="805" customWidth="1"/>
    <col min="787" max="787" width="7.125" style="805" customWidth="1"/>
    <col min="788" max="789" width="6.375" style="805" customWidth="1"/>
    <col min="790" max="790" width="9" style="805"/>
    <col min="791" max="791" width="6.25" style="805" customWidth="1"/>
    <col min="792" max="792" width="4.625" style="805" customWidth="1"/>
    <col min="793" max="793" width="6" style="805" customWidth="1"/>
    <col min="794" max="794" width="5.75" style="805" customWidth="1"/>
    <col min="795" max="795" width="0.875" style="805" customWidth="1"/>
    <col min="796" max="796" width="4.5" style="805" customWidth="1"/>
    <col min="797" max="797" width="5.625" style="805" customWidth="1"/>
    <col min="798" max="798" width="11.5" style="805" customWidth="1"/>
    <col min="799" max="803" width="9" style="805"/>
    <col min="804" max="804" width="13.875" style="805" customWidth="1"/>
    <col min="805" max="805" width="4.5" style="805" customWidth="1"/>
    <col min="806" max="1024" width="9" style="805"/>
    <col min="1025" max="1025" width="1" style="805" customWidth="1"/>
    <col min="1026" max="1026" width="15.625" style="805" customWidth="1"/>
    <col min="1027" max="1027" width="4.125" style="805" customWidth="1"/>
    <col min="1028" max="1028" width="9" style="805"/>
    <col min="1029" max="1029" width="1.875" style="805" customWidth="1"/>
    <col min="1030" max="1030" width="9" style="805"/>
    <col min="1031" max="1031" width="1.375" style="805" customWidth="1"/>
    <col min="1032" max="1032" width="0.75" style="805" customWidth="1"/>
    <col min="1033" max="1033" width="20" style="805" customWidth="1"/>
    <col min="1034" max="1034" width="9" style="805"/>
    <col min="1035" max="1035" width="1.25" style="805" customWidth="1"/>
    <col min="1036" max="1036" width="9" style="805"/>
    <col min="1037" max="1037" width="1.5" style="805" customWidth="1"/>
    <col min="1038" max="1039" width="0.75" style="805" customWidth="1"/>
    <col min="1040" max="1040" width="5.625" style="805" customWidth="1"/>
    <col min="1041" max="1041" width="17.875" style="805" customWidth="1"/>
    <col min="1042" max="1042" width="4.875" style="805" customWidth="1"/>
    <col min="1043" max="1043" width="7.125" style="805" customWidth="1"/>
    <col min="1044" max="1045" width="6.375" style="805" customWidth="1"/>
    <col min="1046" max="1046" width="9" style="805"/>
    <col min="1047" max="1047" width="6.25" style="805" customWidth="1"/>
    <col min="1048" max="1048" width="4.625" style="805" customWidth="1"/>
    <col min="1049" max="1049" width="6" style="805" customWidth="1"/>
    <col min="1050" max="1050" width="5.75" style="805" customWidth="1"/>
    <col min="1051" max="1051" width="0.875" style="805" customWidth="1"/>
    <col min="1052" max="1052" width="4.5" style="805" customWidth="1"/>
    <col min="1053" max="1053" width="5.625" style="805" customWidth="1"/>
    <col min="1054" max="1054" width="11.5" style="805" customWidth="1"/>
    <col min="1055" max="1059" width="9" style="805"/>
    <col min="1060" max="1060" width="13.875" style="805" customWidth="1"/>
    <col min="1061" max="1061" width="4.5" style="805" customWidth="1"/>
    <col min="1062" max="1280" width="9" style="805"/>
    <col min="1281" max="1281" width="1" style="805" customWidth="1"/>
    <col min="1282" max="1282" width="15.625" style="805" customWidth="1"/>
    <col min="1283" max="1283" width="4.125" style="805" customWidth="1"/>
    <col min="1284" max="1284" width="9" style="805"/>
    <col min="1285" max="1285" width="1.875" style="805" customWidth="1"/>
    <col min="1286" max="1286" width="9" style="805"/>
    <col min="1287" max="1287" width="1.375" style="805" customWidth="1"/>
    <col min="1288" max="1288" width="0.75" style="805" customWidth="1"/>
    <col min="1289" max="1289" width="20" style="805" customWidth="1"/>
    <col min="1290" max="1290" width="9" style="805"/>
    <col min="1291" max="1291" width="1.25" style="805" customWidth="1"/>
    <col min="1292" max="1292" width="9" style="805"/>
    <col min="1293" max="1293" width="1.5" style="805" customWidth="1"/>
    <col min="1294" max="1295" width="0.75" style="805" customWidth="1"/>
    <col min="1296" max="1296" width="5.625" style="805" customWidth="1"/>
    <col min="1297" max="1297" width="17.875" style="805" customWidth="1"/>
    <col min="1298" max="1298" width="4.875" style="805" customWidth="1"/>
    <col min="1299" max="1299" width="7.125" style="805" customWidth="1"/>
    <col min="1300" max="1301" width="6.375" style="805" customWidth="1"/>
    <col min="1302" max="1302" width="9" style="805"/>
    <col min="1303" max="1303" width="6.25" style="805" customWidth="1"/>
    <col min="1304" max="1304" width="4.625" style="805" customWidth="1"/>
    <col min="1305" max="1305" width="6" style="805" customWidth="1"/>
    <col min="1306" max="1306" width="5.75" style="805" customWidth="1"/>
    <col min="1307" max="1307" width="0.875" style="805" customWidth="1"/>
    <col min="1308" max="1308" width="4.5" style="805" customWidth="1"/>
    <col min="1309" max="1309" width="5.625" style="805" customWidth="1"/>
    <col min="1310" max="1310" width="11.5" style="805" customWidth="1"/>
    <col min="1311" max="1315" width="9" style="805"/>
    <col min="1316" max="1316" width="13.875" style="805" customWidth="1"/>
    <col min="1317" max="1317" width="4.5" style="805" customWidth="1"/>
    <col min="1318" max="1536" width="9" style="805"/>
    <col min="1537" max="1537" width="1" style="805" customWidth="1"/>
    <col min="1538" max="1538" width="15.625" style="805" customWidth="1"/>
    <col min="1539" max="1539" width="4.125" style="805" customWidth="1"/>
    <col min="1540" max="1540" width="9" style="805"/>
    <col min="1541" max="1541" width="1.875" style="805" customWidth="1"/>
    <col min="1542" max="1542" width="9" style="805"/>
    <col min="1543" max="1543" width="1.375" style="805" customWidth="1"/>
    <col min="1544" max="1544" width="0.75" style="805" customWidth="1"/>
    <col min="1545" max="1545" width="20" style="805" customWidth="1"/>
    <col min="1546" max="1546" width="9" style="805"/>
    <col min="1547" max="1547" width="1.25" style="805" customWidth="1"/>
    <col min="1548" max="1548" width="9" style="805"/>
    <col min="1549" max="1549" width="1.5" style="805" customWidth="1"/>
    <col min="1550" max="1551" width="0.75" style="805" customWidth="1"/>
    <col min="1552" max="1552" width="5.625" style="805" customWidth="1"/>
    <col min="1553" max="1553" width="17.875" style="805" customWidth="1"/>
    <col min="1554" max="1554" width="4.875" style="805" customWidth="1"/>
    <col min="1555" max="1555" width="7.125" style="805" customWidth="1"/>
    <col min="1556" max="1557" width="6.375" style="805" customWidth="1"/>
    <col min="1558" max="1558" width="9" style="805"/>
    <col min="1559" max="1559" width="6.25" style="805" customWidth="1"/>
    <col min="1560" max="1560" width="4.625" style="805" customWidth="1"/>
    <col min="1561" max="1561" width="6" style="805" customWidth="1"/>
    <col min="1562" max="1562" width="5.75" style="805" customWidth="1"/>
    <col min="1563" max="1563" width="0.875" style="805" customWidth="1"/>
    <col min="1564" max="1564" width="4.5" style="805" customWidth="1"/>
    <col min="1565" max="1565" width="5.625" style="805" customWidth="1"/>
    <col min="1566" max="1566" width="11.5" style="805" customWidth="1"/>
    <col min="1567" max="1571" width="9" style="805"/>
    <col min="1572" max="1572" width="13.875" style="805" customWidth="1"/>
    <col min="1573" max="1573" width="4.5" style="805" customWidth="1"/>
    <col min="1574" max="1792" width="9" style="805"/>
    <col min="1793" max="1793" width="1" style="805" customWidth="1"/>
    <col min="1794" max="1794" width="15.625" style="805" customWidth="1"/>
    <col min="1795" max="1795" width="4.125" style="805" customWidth="1"/>
    <col min="1796" max="1796" width="9" style="805"/>
    <col min="1797" max="1797" width="1.875" style="805" customWidth="1"/>
    <col min="1798" max="1798" width="9" style="805"/>
    <col min="1799" max="1799" width="1.375" style="805" customWidth="1"/>
    <col min="1800" max="1800" width="0.75" style="805" customWidth="1"/>
    <col min="1801" max="1801" width="20" style="805" customWidth="1"/>
    <col min="1802" max="1802" width="9" style="805"/>
    <col min="1803" max="1803" width="1.25" style="805" customWidth="1"/>
    <col min="1804" max="1804" width="9" style="805"/>
    <col min="1805" max="1805" width="1.5" style="805" customWidth="1"/>
    <col min="1806" max="1807" width="0.75" style="805" customWidth="1"/>
    <col min="1808" max="1808" width="5.625" style="805" customWidth="1"/>
    <col min="1809" max="1809" width="17.875" style="805" customWidth="1"/>
    <col min="1810" max="1810" width="4.875" style="805" customWidth="1"/>
    <col min="1811" max="1811" width="7.125" style="805" customWidth="1"/>
    <col min="1812" max="1813" width="6.375" style="805" customWidth="1"/>
    <col min="1814" max="1814" width="9" style="805"/>
    <col min="1815" max="1815" width="6.25" style="805" customWidth="1"/>
    <col min="1816" max="1816" width="4.625" style="805" customWidth="1"/>
    <col min="1817" max="1817" width="6" style="805" customWidth="1"/>
    <col min="1818" max="1818" width="5.75" style="805" customWidth="1"/>
    <col min="1819" max="1819" width="0.875" style="805" customWidth="1"/>
    <col min="1820" max="1820" width="4.5" style="805" customWidth="1"/>
    <col min="1821" max="1821" width="5.625" style="805" customWidth="1"/>
    <col min="1822" max="1822" width="11.5" style="805" customWidth="1"/>
    <col min="1823" max="1827" width="9" style="805"/>
    <col min="1828" max="1828" width="13.875" style="805" customWidth="1"/>
    <col min="1829" max="1829" width="4.5" style="805" customWidth="1"/>
    <col min="1830" max="2048" width="9" style="805"/>
    <col min="2049" max="2049" width="1" style="805" customWidth="1"/>
    <col min="2050" max="2050" width="15.625" style="805" customWidth="1"/>
    <col min="2051" max="2051" width="4.125" style="805" customWidth="1"/>
    <col min="2052" max="2052" width="9" style="805"/>
    <col min="2053" max="2053" width="1.875" style="805" customWidth="1"/>
    <col min="2054" max="2054" width="9" style="805"/>
    <col min="2055" max="2055" width="1.375" style="805" customWidth="1"/>
    <col min="2056" max="2056" width="0.75" style="805" customWidth="1"/>
    <col min="2057" max="2057" width="20" style="805" customWidth="1"/>
    <col min="2058" max="2058" width="9" style="805"/>
    <col min="2059" max="2059" width="1.25" style="805" customWidth="1"/>
    <col min="2060" max="2060" width="9" style="805"/>
    <col min="2061" max="2061" width="1.5" style="805" customWidth="1"/>
    <col min="2062" max="2063" width="0.75" style="805" customWidth="1"/>
    <col min="2064" max="2064" width="5.625" style="805" customWidth="1"/>
    <col min="2065" max="2065" width="17.875" style="805" customWidth="1"/>
    <col min="2066" max="2066" width="4.875" style="805" customWidth="1"/>
    <col min="2067" max="2067" width="7.125" style="805" customWidth="1"/>
    <col min="2068" max="2069" width="6.375" style="805" customWidth="1"/>
    <col min="2070" max="2070" width="9" style="805"/>
    <col min="2071" max="2071" width="6.25" style="805" customWidth="1"/>
    <col min="2072" max="2072" width="4.625" style="805" customWidth="1"/>
    <col min="2073" max="2073" width="6" style="805" customWidth="1"/>
    <col min="2074" max="2074" width="5.75" style="805" customWidth="1"/>
    <col min="2075" max="2075" width="0.875" style="805" customWidth="1"/>
    <col min="2076" max="2076" width="4.5" style="805" customWidth="1"/>
    <col min="2077" max="2077" width="5.625" style="805" customWidth="1"/>
    <col min="2078" max="2078" width="11.5" style="805" customWidth="1"/>
    <col min="2079" max="2083" width="9" style="805"/>
    <col min="2084" max="2084" width="13.875" style="805" customWidth="1"/>
    <col min="2085" max="2085" width="4.5" style="805" customWidth="1"/>
    <col min="2086" max="2304" width="9" style="805"/>
    <col min="2305" max="2305" width="1" style="805" customWidth="1"/>
    <col min="2306" max="2306" width="15.625" style="805" customWidth="1"/>
    <col min="2307" max="2307" width="4.125" style="805" customWidth="1"/>
    <col min="2308" max="2308" width="9" style="805"/>
    <col min="2309" max="2309" width="1.875" style="805" customWidth="1"/>
    <col min="2310" max="2310" width="9" style="805"/>
    <col min="2311" max="2311" width="1.375" style="805" customWidth="1"/>
    <col min="2312" max="2312" width="0.75" style="805" customWidth="1"/>
    <col min="2313" max="2313" width="20" style="805" customWidth="1"/>
    <col min="2314" max="2314" width="9" style="805"/>
    <col min="2315" max="2315" width="1.25" style="805" customWidth="1"/>
    <col min="2316" max="2316" width="9" style="805"/>
    <col min="2317" max="2317" width="1.5" style="805" customWidth="1"/>
    <col min="2318" max="2319" width="0.75" style="805" customWidth="1"/>
    <col min="2320" max="2320" width="5.625" style="805" customWidth="1"/>
    <col min="2321" max="2321" width="17.875" style="805" customWidth="1"/>
    <col min="2322" max="2322" width="4.875" style="805" customWidth="1"/>
    <col min="2323" max="2323" width="7.125" style="805" customWidth="1"/>
    <col min="2324" max="2325" width="6.375" style="805" customWidth="1"/>
    <col min="2326" max="2326" width="9" style="805"/>
    <col min="2327" max="2327" width="6.25" style="805" customWidth="1"/>
    <col min="2328" max="2328" width="4.625" style="805" customWidth="1"/>
    <col min="2329" max="2329" width="6" style="805" customWidth="1"/>
    <col min="2330" max="2330" width="5.75" style="805" customWidth="1"/>
    <col min="2331" max="2331" width="0.875" style="805" customWidth="1"/>
    <col min="2332" max="2332" width="4.5" style="805" customWidth="1"/>
    <col min="2333" max="2333" width="5.625" style="805" customWidth="1"/>
    <col min="2334" max="2334" width="11.5" style="805" customWidth="1"/>
    <col min="2335" max="2339" width="9" style="805"/>
    <col min="2340" max="2340" width="13.875" style="805" customWidth="1"/>
    <col min="2341" max="2341" width="4.5" style="805" customWidth="1"/>
    <col min="2342" max="2560" width="9" style="805"/>
    <col min="2561" max="2561" width="1" style="805" customWidth="1"/>
    <col min="2562" max="2562" width="15.625" style="805" customWidth="1"/>
    <col min="2563" max="2563" width="4.125" style="805" customWidth="1"/>
    <col min="2564" max="2564" width="9" style="805"/>
    <col min="2565" max="2565" width="1.875" style="805" customWidth="1"/>
    <col min="2566" max="2566" width="9" style="805"/>
    <col min="2567" max="2567" width="1.375" style="805" customWidth="1"/>
    <col min="2568" max="2568" width="0.75" style="805" customWidth="1"/>
    <col min="2569" max="2569" width="20" style="805" customWidth="1"/>
    <col min="2570" max="2570" width="9" style="805"/>
    <col min="2571" max="2571" width="1.25" style="805" customWidth="1"/>
    <col min="2572" max="2572" width="9" style="805"/>
    <col min="2573" max="2573" width="1.5" style="805" customWidth="1"/>
    <col min="2574" max="2575" width="0.75" style="805" customWidth="1"/>
    <col min="2576" max="2576" width="5.625" style="805" customWidth="1"/>
    <col min="2577" max="2577" width="17.875" style="805" customWidth="1"/>
    <col min="2578" max="2578" width="4.875" style="805" customWidth="1"/>
    <col min="2579" max="2579" width="7.125" style="805" customWidth="1"/>
    <col min="2580" max="2581" width="6.375" style="805" customWidth="1"/>
    <col min="2582" max="2582" width="9" style="805"/>
    <col min="2583" max="2583" width="6.25" style="805" customWidth="1"/>
    <col min="2584" max="2584" width="4.625" style="805" customWidth="1"/>
    <col min="2585" max="2585" width="6" style="805" customWidth="1"/>
    <col min="2586" max="2586" width="5.75" style="805" customWidth="1"/>
    <col min="2587" max="2587" width="0.875" style="805" customWidth="1"/>
    <col min="2588" max="2588" width="4.5" style="805" customWidth="1"/>
    <col min="2589" max="2589" width="5.625" style="805" customWidth="1"/>
    <col min="2590" max="2590" width="11.5" style="805" customWidth="1"/>
    <col min="2591" max="2595" width="9" style="805"/>
    <col min="2596" max="2596" width="13.875" style="805" customWidth="1"/>
    <col min="2597" max="2597" width="4.5" style="805" customWidth="1"/>
    <col min="2598" max="2816" width="9" style="805"/>
    <col min="2817" max="2817" width="1" style="805" customWidth="1"/>
    <col min="2818" max="2818" width="15.625" style="805" customWidth="1"/>
    <col min="2819" max="2819" width="4.125" style="805" customWidth="1"/>
    <col min="2820" max="2820" width="9" style="805"/>
    <col min="2821" max="2821" width="1.875" style="805" customWidth="1"/>
    <col min="2822" max="2822" width="9" style="805"/>
    <col min="2823" max="2823" width="1.375" style="805" customWidth="1"/>
    <col min="2824" max="2824" width="0.75" style="805" customWidth="1"/>
    <col min="2825" max="2825" width="20" style="805" customWidth="1"/>
    <col min="2826" max="2826" width="9" style="805"/>
    <col min="2827" max="2827" width="1.25" style="805" customWidth="1"/>
    <col min="2828" max="2828" width="9" style="805"/>
    <col min="2829" max="2829" width="1.5" style="805" customWidth="1"/>
    <col min="2830" max="2831" width="0.75" style="805" customWidth="1"/>
    <col min="2832" max="2832" width="5.625" style="805" customWidth="1"/>
    <col min="2833" max="2833" width="17.875" style="805" customWidth="1"/>
    <col min="2834" max="2834" width="4.875" style="805" customWidth="1"/>
    <col min="2835" max="2835" width="7.125" style="805" customWidth="1"/>
    <col min="2836" max="2837" width="6.375" style="805" customWidth="1"/>
    <col min="2838" max="2838" width="9" style="805"/>
    <col min="2839" max="2839" width="6.25" style="805" customWidth="1"/>
    <col min="2840" max="2840" width="4.625" style="805" customWidth="1"/>
    <col min="2841" max="2841" width="6" style="805" customWidth="1"/>
    <col min="2842" max="2842" width="5.75" style="805" customWidth="1"/>
    <col min="2843" max="2843" width="0.875" style="805" customWidth="1"/>
    <col min="2844" max="2844" width="4.5" style="805" customWidth="1"/>
    <col min="2845" max="2845" width="5.625" style="805" customWidth="1"/>
    <col min="2846" max="2846" width="11.5" style="805" customWidth="1"/>
    <col min="2847" max="2851" width="9" style="805"/>
    <col min="2852" max="2852" width="13.875" style="805" customWidth="1"/>
    <col min="2853" max="2853" width="4.5" style="805" customWidth="1"/>
    <col min="2854" max="3072" width="9" style="805"/>
    <col min="3073" max="3073" width="1" style="805" customWidth="1"/>
    <col min="3074" max="3074" width="15.625" style="805" customWidth="1"/>
    <col min="3075" max="3075" width="4.125" style="805" customWidth="1"/>
    <col min="3076" max="3076" width="9" style="805"/>
    <col min="3077" max="3077" width="1.875" style="805" customWidth="1"/>
    <col min="3078" max="3078" width="9" style="805"/>
    <col min="3079" max="3079" width="1.375" style="805" customWidth="1"/>
    <col min="3080" max="3080" width="0.75" style="805" customWidth="1"/>
    <col min="3081" max="3081" width="20" style="805" customWidth="1"/>
    <col min="3082" max="3082" width="9" style="805"/>
    <col min="3083" max="3083" width="1.25" style="805" customWidth="1"/>
    <col min="3084" max="3084" width="9" style="805"/>
    <col min="3085" max="3085" width="1.5" style="805" customWidth="1"/>
    <col min="3086" max="3087" width="0.75" style="805" customWidth="1"/>
    <col min="3088" max="3088" width="5.625" style="805" customWidth="1"/>
    <col min="3089" max="3089" width="17.875" style="805" customWidth="1"/>
    <col min="3090" max="3090" width="4.875" style="805" customWidth="1"/>
    <col min="3091" max="3091" width="7.125" style="805" customWidth="1"/>
    <col min="3092" max="3093" width="6.375" style="805" customWidth="1"/>
    <col min="3094" max="3094" width="9" style="805"/>
    <col min="3095" max="3095" width="6.25" style="805" customWidth="1"/>
    <col min="3096" max="3096" width="4.625" style="805" customWidth="1"/>
    <col min="3097" max="3097" width="6" style="805" customWidth="1"/>
    <col min="3098" max="3098" width="5.75" style="805" customWidth="1"/>
    <col min="3099" max="3099" width="0.875" style="805" customWidth="1"/>
    <col min="3100" max="3100" width="4.5" style="805" customWidth="1"/>
    <col min="3101" max="3101" width="5.625" style="805" customWidth="1"/>
    <col min="3102" max="3102" width="11.5" style="805" customWidth="1"/>
    <col min="3103" max="3107" width="9" style="805"/>
    <col min="3108" max="3108" width="13.875" style="805" customWidth="1"/>
    <col min="3109" max="3109" width="4.5" style="805" customWidth="1"/>
    <col min="3110" max="3328" width="9" style="805"/>
    <col min="3329" max="3329" width="1" style="805" customWidth="1"/>
    <col min="3330" max="3330" width="15.625" style="805" customWidth="1"/>
    <col min="3331" max="3331" width="4.125" style="805" customWidth="1"/>
    <col min="3332" max="3332" width="9" style="805"/>
    <col min="3333" max="3333" width="1.875" style="805" customWidth="1"/>
    <col min="3334" max="3334" width="9" style="805"/>
    <col min="3335" max="3335" width="1.375" style="805" customWidth="1"/>
    <col min="3336" max="3336" width="0.75" style="805" customWidth="1"/>
    <col min="3337" max="3337" width="20" style="805" customWidth="1"/>
    <col min="3338" max="3338" width="9" style="805"/>
    <col min="3339" max="3339" width="1.25" style="805" customWidth="1"/>
    <col min="3340" max="3340" width="9" style="805"/>
    <col min="3341" max="3341" width="1.5" style="805" customWidth="1"/>
    <col min="3342" max="3343" width="0.75" style="805" customWidth="1"/>
    <col min="3344" max="3344" width="5.625" style="805" customWidth="1"/>
    <col min="3345" max="3345" width="17.875" style="805" customWidth="1"/>
    <col min="3346" max="3346" width="4.875" style="805" customWidth="1"/>
    <col min="3347" max="3347" width="7.125" style="805" customWidth="1"/>
    <col min="3348" max="3349" width="6.375" style="805" customWidth="1"/>
    <col min="3350" max="3350" width="9" style="805"/>
    <col min="3351" max="3351" width="6.25" style="805" customWidth="1"/>
    <col min="3352" max="3352" width="4.625" style="805" customWidth="1"/>
    <col min="3353" max="3353" width="6" style="805" customWidth="1"/>
    <col min="3354" max="3354" width="5.75" style="805" customWidth="1"/>
    <col min="3355" max="3355" width="0.875" style="805" customWidth="1"/>
    <col min="3356" max="3356" width="4.5" style="805" customWidth="1"/>
    <col min="3357" max="3357" width="5.625" style="805" customWidth="1"/>
    <col min="3358" max="3358" width="11.5" style="805" customWidth="1"/>
    <col min="3359" max="3363" width="9" style="805"/>
    <col min="3364" max="3364" width="13.875" style="805" customWidth="1"/>
    <col min="3365" max="3365" width="4.5" style="805" customWidth="1"/>
    <col min="3366" max="3584" width="9" style="805"/>
    <col min="3585" max="3585" width="1" style="805" customWidth="1"/>
    <col min="3586" max="3586" width="15.625" style="805" customWidth="1"/>
    <col min="3587" max="3587" width="4.125" style="805" customWidth="1"/>
    <col min="3588" max="3588" width="9" style="805"/>
    <col min="3589" max="3589" width="1.875" style="805" customWidth="1"/>
    <col min="3590" max="3590" width="9" style="805"/>
    <col min="3591" max="3591" width="1.375" style="805" customWidth="1"/>
    <col min="3592" max="3592" width="0.75" style="805" customWidth="1"/>
    <col min="3593" max="3593" width="20" style="805" customWidth="1"/>
    <col min="3594" max="3594" width="9" style="805"/>
    <col min="3595" max="3595" width="1.25" style="805" customWidth="1"/>
    <col min="3596" max="3596" width="9" style="805"/>
    <col min="3597" max="3597" width="1.5" style="805" customWidth="1"/>
    <col min="3598" max="3599" width="0.75" style="805" customWidth="1"/>
    <col min="3600" max="3600" width="5.625" style="805" customWidth="1"/>
    <col min="3601" max="3601" width="17.875" style="805" customWidth="1"/>
    <col min="3602" max="3602" width="4.875" style="805" customWidth="1"/>
    <col min="3603" max="3603" width="7.125" style="805" customWidth="1"/>
    <col min="3604" max="3605" width="6.375" style="805" customWidth="1"/>
    <col min="3606" max="3606" width="9" style="805"/>
    <col min="3607" max="3607" width="6.25" style="805" customWidth="1"/>
    <col min="3608" max="3608" width="4.625" style="805" customWidth="1"/>
    <col min="3609" max="3609" width="6" style="805" customWidth="1"/>
    <col min="3610" max="3610" width="5.75" style="805" customWidth="1"/>
    <col min="3611" max="3611" width="0.875" style="805" customWidth="1"/>
    <col min="3612" max="3612" width="4.5" style="805" customWidth="1"/>
    <col min="3613" max="3613" width="5.625" style="805" customWidth="1"/>
    <col min="3614" max="3614" width="11.5" style="805" customWidth="1"/>
    <col min="3615" max="3619" width="9" style="805"/>
    <col min="3620" max="3620" width="13.875" style="805" customWidth="1"/>
    <col min="3621" max="3621" width="4.5" style="805" customWidth="1"/>
    <col min="3622" max="3840" width="9" style="805"/>
    <col min="3841" max="3841" width="1" style="805" customWidth="1"/>
    <col min="3842" max="3842" width="15.625" style="805" customWidth="1"/>
    <col min="3843" max="3843" width="4.125" style="805" customWidth="1"/>
    <col min="3844" max="3844" width="9" style="805"/>
    <col min="3845" max="3845" width="1.875" style="805" customWidth="1"/>
    <col min="3846" max="3846" width="9" style="805"/>
    <col min="3847" max="3847" width="1.375" style="805" customWidth="1"/>
    <col min="3848" max="3848" width="0.75" style="805" customWidth="1"/>
    <col min="3849" max="3849" width="20" style="805" customWidth="1"/>
    <col min="3850" max="3850" width="9" style="805"/>
    <col min="3851" max="3851" width="1.25" style="805" customWidth="1"/>
    <col min="3852" max="3852" width="9" style="805"/>
    <col min="3853" max="3853" width="1.5" style="805" customWidth="1"/>
    <col min="3854" max="3855" width="0.75" style="805" customWidth="1"/>
    <col min="3856" max="3856" width="5.625" style="805" customWidth="1"/>
    <col min="3857" max="3857" width="17.875" style="805" customWidth="1"/>
    <col min="3858" max="3858" width="4.875" style="805" customWidth="1"/>
    <col min="3859" max="3859" width="7.125" style="805" customWidth="1"/>
    <col min="3860" max="3861" width="6.375" style="805" customWidth="1"/>
    <col min="3862" max="3862" width="9" style="805"/>
    <col min="3863" max="3863" width="6.25" style="805" customWidth="1"/>
    <col min="3864" max="3864" width="4.625" style="805" customWidth="1"/>
    <col min="3865" max="3865" width="6" style="805" customWidth="1"/>
    <col min="3866" max="3866" width="5.75" style="805" customWidth="1"/>
    <col min="3867" max="3867" width="0.875" style="805" customWidth="1"/>
    <col min="3868" max="3868" width="4.5" style="805" customWidth="1"/>
    <col min="3869" max="3869" width="5.625" style="805" customWidth="1"/>
    <col min="3870" max="3870" width="11.5" style="805" customWidth="1"/>
    <col min="3871" max="3875" width="9" style="805"/>
    <col min="3876" max="3876" width="13.875" style="805" customWidth="1"/>
    <col min="3877" max="3877" width="4.5" style="805" customWidth="1"/>
    <col min="3878" max="4096" width="9" style="805"/>
    <col min="4097" max="4097" width="1" style="805" customWidth="1"/>
    <col min="4098" max="4098" width="15.625" style="805" customWidth="1"/>
    <col min="4099" max="4099" width="4.125" style="805" customWidth="1"/>
    <col min="4100" max="4100" width="9" style="805"/>
    <col min="4101" max="4101" width="1.875" style="805" customWidth="1"/>
    <col min="4102" max="4102" width="9" style="805"/>
    <col min="4103" max="4103" width="1.375" style="805" customWidth="1"/>
    <col min="4104" max="4104" width="0.75" style="805" customWidth="1"/>
    <col min="4105" max="4105" width="20" style="805" customWidth="1"/>
    <col min="4106" max="4106" width="9" style="805"/>
    <col min="4107" max="4107" width="1.25" style="805" customWidth="1"/>
    <col min="4108" max="4108" width="9" style="805"/>
    <col min="4109" max="4109" width="1.5" style="805" customWidth="1"/>
    <col min="4110" max="4111" width="0.75" style="805" customWidth="1"/>
    <col min="4112" max="4112" width="5.625" style="805" customWidth="1"/>
    <col min="4113" max="4113" width="17.875" style="805" customWidth="1"/>
    <col min="4114" max="4114" width="4.875" style="805" customWidth="1"/>
    <col min="4115" max="4115" width="7.125" style="805" customWidth="1"/>
    <col min="4116" max="4117" width="6.375" style="805" customWidth="1"/>
    <col min="4118" max="4118" width="9" style="805"/>
    <col min="4119" max="4119" width="6.25" style="805" customWidth="1"/>
    <col min="4120" max="4120" width="4.625" style="805" customWidth="1"/>
    <col min="4121" max="4121" width="6" style="805" customWidth="1"/>
    <col min="4122" max="4122" width="5.75" style="805" customWidth="1"/>
    <col min="4123" max="4123" width="0.875" style="805" customWidth="1"/>
    <col min="4124" max="4124" width="4.5" style="805" customWidth="1"/>
    <col min="4125" max="4125" width="5.625" style="805" customWidth="1"/>
    <col min="4126" max="4126" width="11.5" style="805" customWidth="1"/>
    <col min="4127" max="4131" width="9" style="805"/>
    <col min="4132" max="4132" width="13.875" style="805" customWidth="1"/>
    <col min="4133" max="4133" width="4.5" style="805" customWidth="1"/>
    <col min="4134" max="4352" width="9" style="805"/>
    <col min="4353" max="4353" width="1" style="805" customWidth="1"/>
    <col min="4354" max="4354" width="15.625" style="805" customWidth="1"/>
    <col min="4355" max="4355" width="4.125" style="805" customWidth="1"/>
    <col min="4356" max="4356" width="9" style="805"/>
    <col min="4357" max="4357" width="1.875" style="805" customWidth="1"/>
    <col min="4358" max="4358" width="9" style="805"/>
    <col min="4359" max="4359" width="1.375" style="805" customWidth="1"/>
    <col min="4360" max="4360" width="0.75" style="805" customWidth="1"/>
    <col min="4361" max="4361" width="20" style="805" customWidth="1"/>
    <col min="4362" max="4362" width="9" style="805"/>
    <col min="4363" max="4363" width="1.25" style="805" customWidth="1"/>
    <col min="4364" max="4364" width="9" style="805"/>
    <col min="4365" max="4365" width="1.5" style="805" customWidth="1"/>
    <col min="4366" max="4367" width="0.75" style="805" customWidth="1"/>
    <col min="4368" max="4368" width="5.625" style="805" customWidth="1"/>
    <col min="4369" max="4369" width="17.875" style="805" customWidth="1"/>
    <col min="4370" max="4370" width="4.875" style="805" customWidth="1"/>
    <col min="4371" max="4371" width="7.125" style="805" customWidth="1"/>
    <col min="4372" max="4373" width="6.375" style="805" customWidth="1"/>
    <col min="4374" max="4374" width="9" style="805"/>
    <col min="4375" max="4375" width="6.25" style="805" customWidth="1"/>
    <col min="4376" max="4376" width="4.625" style="805" customWidth="1"/>
    <col min="4377" max="4377" width="6" style="805" customWidth="1"/>
    <col min="4378" max="4378" width="5.75" style="805" customWidth="1"/>
    <col min="4379" max="4379" width="0.875" style="805" customWidth="1"/>
    <col min="4380" max="4380" width="4.5" style="805" customWidth="1"/>
    <col min="4381" max="4381" width="5.625" style="805" customWidth="1"/>
    <col min="4382" max="4382" width="11.5" style="805" customWidth="1"/>
    <col min="4383" max="4387" width="9" style="805"/>
    <col min="4388" max="4388" width="13.875" style="805" customWidth="1"/>
    <col min="4389" max="4389" width="4.5" style="805" customWidth="1"/>
    <col min="4390" max="4608" width="9" style="805"/>
    <col min="4609" max="4609" width="1" style="805" customWidth="1"/>
    <col min="4610" max="4610" width="15.625" style="805" customWidth="1"/>
    <col min="4611" max="4611" width="4.125" style="805" customWidth="1"/>
    <col min="4612" max="4612" width="9" style="805"/>
    <col min="4613" max="4613" width="1.875" style="805" customWidth="1"/>
    <col min="4614" max="4614" width="9" style="805"/>
    <col min="4615" max="4615" width="1.375" style="805" customWidth="1"/>
    <col min="4616" max="4616" width="0.75" style="805" customWidth="1"/>
    <col min="4617" max="4617" width="20" style="805" customWidth="1"/>
    <col min="4618" max="4618" width="9" style="805"/>
    <col min="4619" max="4619" width="1.25" style="805" customWidth="1"/>
    <col min="4620" max="4620" width="9" style="805"/>
    <col min="4621" max="4621" width="1.5" style="805" customWidth="1"/>
    <col min="4622" max="4623" width="0.75" style="805" customWidth="1"/>
    <col min="4624" max="4624" width="5.625" style="805" customWidth="1"/>
    <col min="4625" max="4625" width="17.875" style="805" customWidth="1"/>
    <col min="4626" max="4626" width="4.875" style="805" customWidth="1"/>
    <col min="4627" max="4627" width="7.125" style="805" customWidth="1"/>
    <col min="4628" max="4629" width="6.375" style="805" customWidth="1"/>
    <col min="4630" max="4630" width="9" style="805"/>
    <col min="4631" max="4631" width="6.25" style="805" customWidth="1"/>
    <col min="4632" max="4632" width="4.625" style="805" customWidth="1"/>
    <col min="4633" max="4633" width="6" style="805" customWidth="1"/>
    <col min="4634" max="4634" width="5.75" style="805" customWidth="1"/>
    <col min="4635" max="4635" width="0.875" style="805" customWidth="1"/>
    <col min="4636" max="4636" width="4.5" style="805" customWidth="1"/>
    <col min="4637" max="4637" width="5.625" style="805" customWidth="1"/>
    <col min="4638" max="4638" width="11.5" style="805" customWidth="1"/>
    <col min="4639" max="4643" width="9" style="805"/>
    <col min="4644" max="4644" width="13.875" style="805" customWidth="1"/>
    <col min="4645" max="4645" width="4.5" style="805" customWidth="1"/>
    <col min="4646" max="4864" width="9" style="805"/>
    <col min="4865" max="4865" width="1" style="805" customWidth="1"/>
    <col min="4866" max="4866" width="15.625" style="805" customWidth="1"/>
    <col min="4867" max="4867" width="4.125" style="805" customWidth="1"/>
    <col min="4868" max="4868" width="9" style="805"/>
    <col min="4869" max="4869" width="1.875" style="805" customWidth="1"/>
    <col min="4870" max="4870" width="9" style="805"/>
    <col min="4871" max="4871" width="1.375" style="805" customWidth="1"/>
    <col min="4872" max="4872" width="0.75" style="805" customWidth="1"/>
    <col min="4873" max="4873" width="20" style="805" customWidth="1"/>
    <col min="4874" max="4874" width="9" style="805"/>
    <col min="4875" max="4875" width="1.25" style="805" customWidth="1"/>
    <col min="4876" max="4876" width="9" style="805"/>
    <col min="4877" max="4877" width="1.5" style="805" customWidth="1"/>
    <col min="4878" max="4879" width="0.75" style="805" customWidth="1"/>
    <col min="4880" max="4880" width="5.625" style="805" customWidth="1"/>
    <col min="4881" max="4881" width="17.875" style="805" customWidth="1"/>
    <col min="4882" max="4882" width="4.875" style="805" customWidth="1"/>
    <col min="4883" max="4883" width="7.125" style="805" customWidth="1"/>
    <col min="4884" max="4885" width="6.375" style="805" customWidth="1"/>
    <col min="4886" max="4886" width="9" style="805"/>
    <col min="4887" max="4887" width="6.25" style="805" customWidth="1"/>
    <col min="4888" max="4888" width="4.625" style="805" customWidth="1"/>
    <col min="4889" max="4889" width="6" style="805" customWidth="1"/>
    <col min="4890" max="4890" width="5.75" style="805" customWidth="1"/>
    <col min="4891" max="4891" width="0.875" style="805" customWidth="1"/>
    <col min="4892" max="4892" width="4.5" style="805" customWidth="1"/>
    <col min="4893" max="4893" width="5.625" style="805" customWidth="1"/>
    <col min="4894" max="4894" width="11.5" style="805" customWidth="1"/>
    <col min="4895" max="4899" width="9" style="805"/>
    <col min="4900" max="4900" width="13.875" style="805" customWidth="1"/>
    <col min="4901" max="4901" width="4.5" style="805" customWidth="1"/>
    <col min="4902" max="5120" width="9" style="805"/>
    <col min="5121" max="5121" width="1" style="805" customWidth="1"/>
    <col min="5122" max="5122" width="15.625" style="805" customWidth="1"/>
    <col min="5123" max="5123" width="4.125" style="805" customWidth="1"/>
    <col min="5124" max="5124" width="9" style="805"/>
    <col min="5125" max="5125" width="1.875" style="805" customWidth="1"/>
    <col min="5126" max="5126" width="9" style="805"/>
    <col min="5127" max="5127" width="1.375" style="805" customWidth="1"/>
    <col min="5128" max="5128" width="0.75" style="805" customWidth="1"/>
    <col min="5129" max="5129" width="20" style="805" customWidth="1"/>
    <col min="5130" max="5130" width="9" style="805"/>
    <col min="5131" max="5131" width="1.25" style="805" customWidth="1"/>
    <col min="5132" max="5132" width="9" style="805"/>
    <col min="5133" max="5133" width="1.5" style="805" customWidth="1"/>
    <col min="5134" max="5135" width="0.75" style="805" customWidth="1"/>
    <col min="5136" max="5136" width="5.625" style="805" customWidth="1"/>
    <col min="5137" max="5137" width="17.875" style="805" customWidth="1"/>
    <col min="5138" max="5138" width="4.875" style="805" customWidth="1"/>
    <col min="5139" max="5139" width="7.125" style="805" customWidth="1"/>
    <col min="5140" max="5141" width="6.375" style="805" customWidth="1"/>
    <col min="5142" max="5142" width="9" style="805"/>
    <col min="5143" max="5143" width="6.25" style="805" customWidth="1"/>
    <col min="5144" max="5144" width="4.625" style="805" customWidth="1"/>
    <col min="5145" max="5145" width="6" style="805" customWidth="1"/>
    <col min="5146" max="5146" width="5.75" style="805" customWidth="1"/>
    <col min="5147" max="5147" width="0.875" style="805" customWidth="1"/>
    <col min="5148" max="5148" width="4.5" style="805" customWidth="1"/>
    <col min="5149" max="5149" width="5.625" style="805" customWidth="1"/>
    <col min="5150" max="5150" width="11.5" style="805" customWidth="1"/>
    <col min="5151" max="5155" width="9" style="805"/>
    <col min="5156" max="5156" width="13.875" style="805" customWidth="1"/>
    <col min="5157" max="5157" width="4.5" style="805" customWidth="1"/>
    <col min="5158" max="5376" width="9" style="805"/>
    <col min="5377" max="5377" width="1" style="805" customWidth="1"/>
    <col min="5378" max="5378" width="15.625" style="805" customWidth="1"/>
    <col min="5379" max="5379" width="4.125" style="805" customWidth="1"/>
    <col min="5380" max="5380" width="9" style="805"/>
    <col min="5381" max="5381" width="1.875" style="805" customWidth="1"/>
    <col min="5382" max="5382" width="9" style="805"/>
    <col min="5383" max="5383" width="1.375" style="805" customWidth="1"/>
    <col min="5384" max="5384" width="0.75" style="805" customWidth="1"/>
    <col min="5385" max="5385" width="20" style="805" customWidth="1"/>
    <col min="5386" max="5386" width="9" style="805"/>
    <col min="5387" max="5387" width="1.25" style="805" customWidth="1"/>
    <col min="5388" max="5388" width="9" style="805"/>
    <col min="5389" max="5389" width="1.5" style="805" customWidth="1"/>
    <col min="5390" max="5391" width="0.75" style="805" customWidth="1"/>
    <col min="5392" max="5392" width="5.625" style="805" customWidth="1"/>
    <col min="5393" max="5393" width="17.875" style="805" customWidth="1"/>
    <col min="5394" max="5394" width="4.875" style="805" customWidth="1"/>
    <col min="5395" max="5395" width="7.125" style="805" customWidth="1"/>
    <col min="5396" max="5397" width="6.375" style="805" customWidth="1"/>
    <col min="5398" max="5398" width="9" style="805"/>
    <col min="5399" max="5399" width="6.25" style="805" customWidth="1"/>
    <col min="5400" max="5400" width="4.625" style="805" customWidth="1"/>
    <col min="5401" max="5401" width="6" style="805" customWidth="1"/>
    <col min="5402" max="5402" width="5.75" style="805" customWidth="1"/>
    <col min="5403" max="5403" width="0.875" style="805" customWidth="1"/>
    <col min="5404" max="5404" width="4.5" style="805" customWidth="1"/>
    <col min="5405" max="5405" width="5.625" style="805" customWidth="1"/>
    <col min="5406" max="5406" width="11.5" style="805" customWidth="1"/>
    <col min="5407" max="5411" width="9" style="805"/>
    <col min="5412" max="5412" width="13.875" style="805" customWidth="1"/>
    <col min="5413" max="5413" width="4.5" style="805" customWidth="1"/>
    <col min="5414" max="5632" width="9" style="805"/>
    <col min="5633" max="5633" width="1" style="805" customWidth="1"/>
    <col min="5634" max="5634" width="15.625" style="805" customWidth="1"/>
    <col min="5635" max="5635" width="4.125" style="805" customWidth="1"/>
    <col min="5636" max="5636" width="9" style="805"/>
    <col min="5637" max="5637" width="1.875" style="805" customWidth="1"/>
    <col min="5638" max="5638" width="9" style="805"/>
    <col min="5639" max="5639" width="1.375" style="805" customWidth="1"/>
    <col min="5640" max="5640" width="0.75" style="805" customWidth="1"/>
    <col min="5641" max="5641" width="20" style="805" customWidth="1"/>
    <col min="5642" max="5642" width="9" style="805"/>
    <col min="5643" max="5643" width="1.25" style="805" customWidth="1"/>
    <col min="5644" max="5644" width="9" style="805"/>
    <col min="5645" max="5645" width="1.5" style="805" customWidth="1"/>
    <col min="5646" max="5647" width="0.75" style="805" customWidth="1"/>
    <col min="5648" max="5648" width="5.625" style="805" customWidth="1"/>
    <col min="5649" max="5649" width="17.875" style="805" customWidth="1"/>
    <col min="5650" max="5650" width="4.875" style="805" customWidth="1"/>
    <col min="5651" max="5651" width="7.125" style="805" customWidth="1"/>
    <col min="5652" max="5653" width="6.375" style="805" customWidth="1"/>
    <col min="5654" max="5654" width="9" style="805"/>
    <col min="5655" max="5655" width="6.25" style="805" customWidth="1"/>
    <col min="5656" max="5656" width="4.625" style="805" customWidth="1"/>
    <col min="5657" max="5657" width="6" style="805" customWidth="1"/>
    <col min="5658" max="5658" width="5.75" style="805" customWidth="1"/>
    <col min="5659" max="5659" width="0.875" style="805" customWidth="1"/>
    <col min="5660" max="5660" width="4.5" style="805" customWidth="1"/>
    <col min="5661" max="5661" width="5.625" style="805" customWidth="1"/>
    <col min="5662" max="5662" width="11.5" style="805" customWidth="1"/>
    <col min="5663" max="5667" width="9" style="805"/>
    <col min="5668" max="5668" width="13.875" style="805" customWidth="1"/>
    <col min="5669" max="5669" width="4.5" style="805" customWidth="1"/>
    <col min="5670" max="5888" width="9" style="805"/>
    <col min="5889" max="5889" width="1" style="805" customWidth="1"/>
    <col min="5890" max="5890" width="15.625" style="805" customWidth="1"/>
    <col min="5891" max="5891" width="4.125" style="805" customWidth="1"/>
    <col min="5892" max="5892" width="9" style="805"/>
    <col min="5893" max="5893" width="1.875" style="805" customWidth="1"/>
    <col min="5894" max="5894" width="9" style="805"/>
    <col min="5895" max="5895" width="1.375" style="805" customWidth="1"/>
    <col min="5896" max="5896" width="0.75" style="805" customWidth="1"/>
    <col min="5897" max="5897" width="20" style="805" customWidth="1"/>
    <col min="5898" max="5898" width="9" style="805"/>
    <col min="5899" max="5899" width="1.25" style="805" customWidth="1"/>
    <col min="5900" max="5900" width="9" style="805"/>
    <col min="5901" max="5901" width="1.5" style="805" customWidth="1"/>
    <col min="5902" max="5903" width="0.75" style="805" customWidth="1"/>
    <col min="5904" max="5904" width="5.625" style="805" customWidth="1"/>
    <col min="5905" max="5905" width="17.875" style="805" customWidth="1"/>
    <col min="5906" max="5906" width="4.875" style="805" customWidth="1"/>
    <col min="5907" max="5907" width="7.125" style="805" customWidth="1"/>
    <col min="5908" max="5909" width="6.375" style="805" customWidth="1"/>
    <col min="5910" max="5910" width="9" style="805"/>
    <col min="5911" max="5911" width="6.25" style="805" customWidth="1"/>
    <col min="5912" max="5912" width="4.625" style="805" customWidth="1"/>
    <col min="5913" max="5913" width="6" style="805" customWidth="1"/>
    <col min="5914" max="5914" width="5.75" style="805" customWidth="1"/>
    <col min="5915" max="5915" width="0.875" style="805" customWidth="1"/>
    <col min="5916" max="5916" width="4.5" style="805" customWidth="1"/>
    <col min="5917" max="5917" width="5.625" style="805" customWidth="1"/>
    <col min="5918" max="5918" width="11.5" style="805" customWidth="1"/>
    <col min="5919" max="5923" width="9" style="805"/>
    <col min="5924" max="5924" width="13.875" style="805" customWidth="1"/>
    <col min="5925" max="5925" width="4.5" style="805" customWidth="1"/>
    <col min="5926" max="6144" width="9" style="805"/>
    <col min="6145" max="6145" width="1" style="805" customWidth="1"/>
    <col min="6146" max="6146" width="15.625" style="805" customWidth="1"/>
    <col min="6147" max="6147" width="4.125" style="805" customWidth="1"/>
    <col min="6148" max="6148" width="9" style="805"/>
    <col min="6149" max="6149" width="1.875" style="805" customWidth="1"/>
    <col min="6150" max="6150" width="9" style="805"/>
    <col min="6151" max="6151" width="1.375" style="805" customWidth="1"/>
    <col min="6152" max="6152" width="0.75" style="805" customWidth="1"/>
    <col min="6153" max="6153" width="20" style="805" customWidth="1"/>
    <col min="6154" max="6154" width="9" style="805"/>
    <col min="6155" max="6155" width="1.25" style="805" customWidth="1"/>
    <col min="6156" max="6156" width="9" style="805"/>
    <col min="6157" max="6157" width="1.5" style="805" customWidth="1"/>
    <col min="6158" max="6159" width="0.75" style="805" customWidth="1"/>
    <col min="6160" max="6160" width="5.625" style="805" customWidth="1"/>
    <col min="6161" max="6161" width="17.875" style="805" customWidth="1"/>
    <col min="6162" max="6162" width="4.875" style="805" customWidth="1"/>
    <col min="6163" max="6163" width="7.125" style="805" customWidth="1"/>
    <col min="6164" max="6165" width="6.375" style="805" customWidth="1"/>
    <col min="6166" max="6166" width="9" style="805"/>
    <col min="6167" max="6167" width="6.25" style="805" customWidth="1"/>
    <col min="6168" max="6168" width="4.625" style="805" customWidth="1"/>
    <col min="6169" max="6169" width="6" style="805" customWidth="1"/>
    <col min="6170" max="6170" width="5.75" style="805" customWidth="1"/>
    <col min="6171" max="6171" width="0.875" style="805" customWidth="1"/>
    <col min="6172" max="6172" width="4.5" style="805" customWidth="1"/>
    <col min="6173" max="6173" width="5.625" style="805" customWidth="1"/>
    <col min="6174" max="6174" width="11.5" style="805" customWidth="1"/>
    <col min="6175" max="6179" width="9" style="805"/>
    <col min="6180" max="6180" width="13.875" style="805" customWidth="1"/>
    <col min="6181" max="6181" width="4.5" style="805" customWidth="1"/>
    <col min="6182" max="6400" width="9" style="805"/>
    <col min="6401" max="6401" width="1" style="805" customWidth="1"/>
    <col min="6402" max="6402" width="15.625" style="805" customWidth="1"/>
    <col min="6403" max="6403" width="4.125" style="805" customWidth="1"/>
    <col min="6404" max="6404" width="9" style="805"/>
    <col min="6405" max="6405" width="1.875" style="805" customWidth="1"/>
    <col min="6406" max="6406" width="9" style="805"/>
    <col min="6407" max="6407" width="1.375" style="805" customWidth="1"/>
    <col min="6408" max="6408" width="0.75" style="805" customWidth="1"/>
    <col min="6409" max="6409" width="20" style="805" customWidth="1"/>
    <col min="6410" max="6410" width="9" style="805"/>
    <col min="6411" max="6411" width="1.25" style="805" customWidth="1"/>
    <col min="6412" max="6412" width="9" style="805"/>
    <col min="6413" max="6413" width="1.5" style="805" customWidth="1"/>
    <col min="6414" max="6415" width="0.75" style="805" customWidth="1"/>
    <col min="6416" max="6416" width="5.625" style="805" customWidth="1"/>
    <col min="6417" max="6417" width="17.875" style="805" customWidth="1"/>
    <col min="6418" max="6418" width="4.875" style="805" customWidth="1"/>
    <col min="6419" max="6419" width="7.125" style="805" customWidth="1"/>
    <col min="6420" max="6421" width="6.375" style="805" customWidth="1"/>
    <col min="6422" max="6422" width="9" style="805"/>
    <col min="6423" max="6423" width="6.25" style="805" customWidth="1"/>
    <col min="6424" max="6424" width="4.625" style="805" customWidth="1"/>
    <col min="6425" max="6425" width="6" style="805" customWidth="1"/>
    <col min="6426" max="6426" width="5.75" style="805" customWidth="1"/>
    <col min="6427" max="6427" width="0.875" style="805" customWidth="1"/>
    <col min="6428" max="6428" width="4.5" style="805" customWidth="1"/>
    <col min="6429" max="6429" width="5.625" style="805" customWidth="1"/>
    <col min="6430" max="6430" width="11.5" style="805" customWidth="1"/>
    <col min="6431" max="6435" width="9" style="805"/>
    <col min="6436" max="6436" width="13.875" style="805" customWidth="1"/>
    <col min="6437" max="6437" width="4.5" style="805" customWidth="1"/>
    <col min="6438" max="6656" width="9" style="805"/>
    <col min="6657" max="6657" width="1" style="805" customWidth="1"/>
    <col min="6658" max="6658" width="15.625" style="805" customWidth="1"/>
    <col min="6659" max="6659" width="4.125" style="805" customWidth="1"/>
    <col min="6660" max="6660" width="9" style="805"/>
    <col min="6661" max="6661" width="1.875" style="805" customWidth="1"/>
    <col min="6662" max="6662" width="9" style="805"/>
    <col min="6663" max="6663" width="1.375" style="805" customWidth="1"/>
    <col min="6664" max="6664" width="0.75" style="805" customWidth="1"/>
    <col min="6665" max="6665" width="20" style="805" customWidth="1"/>
    <col min="6666" max="6666" width="9" style="805"/>
    <col min="6667" max="6667" width="1.25" style="805" customWidth="1"/>
    <col min="6668" max="6668" width="9" style="805"/>
    <col min="6669" max="6669" width="1.5" style="805" customWidth="1"/>
    <col min="6670" max="6671" width="0.75" style="805" customWidth="1"/>
    <col min="6672" max="6672" width="5.625" style="805" customWidth="1"/>
    <col min="6673" max="6673" width="17.875" style="805" customWidth="1"/>
    <col min="6674" max="6674" width="4.875" style="805" customWidth="1"/>
    <col min="6675" max="6675" width="7.125" style="805" customWidth="1"/>
    <col min="6676" max="6677" width="6.375" style="805" customWidth="1"/>
    <col min="6678" max="6678" width="9" style="805"/>
    <col min="6679" max="6679" width="6.25" style="805" customWidth="1"/>
    <col min="6680" max="6680" width="4.625" style="805" customWidth="1"/>
    <col min="6681" max="6681" width="6" style="805" customWidth="1"/>
    <col min="6682" max="6682" width="5.75" style="805" customWidth="1"/>
    <col min="6683" max="6683" width="0.875" style="805" customWidth="1"/>
    <col min="6684" max="6684" width="4.5" style="805" customWidth="1"/>
    <col min="6685" max="6685" width="5.625" style="805" customWidth="1"/>
    <col min="6686" max="6686" width="11.5" style="805" customWidth="1"/>
    <col min="6687" max="6691" width="9" style="805"/>
    <col min="6692" max="6692" width="13.875" style="805" customWidth="1"/>
    <col min="6693" max="6693" width="4.5" style="805" customWidth="1"/>
    <col min="6694" max="6912" width="9" style="805"/>
    <col min="6913" max="6913" width="1" style="805" customWidth="1"/>
    <col min="6914" max="6914" width="15.625" style="805" customWidth="1"/>
    <col min="6915" max="6915" width="4.125" style="805" customWidth="1"/>
    <col min="6916" max="6916" width="9" style="805"/>
    <col min="6917" max="6917" width="1.875" style="805" customWidth="1"/>
    <col min="6918" max="6918" width="9" style="805"/>
    <col min="6919" max="6919" width="1.375" style="805" customWidth="1"/>
    <col min="6920" max="6920" width="0.75" style="805" customWidth="1"/>
    <col min="6921" max="6921" width="20" style="805" customWidth="1"/>
    <col min="6922" max="6922" width="9" style="805"/>
    <col min="6923" max="6923" width="1.25" style="805" customWidth="1"/>
    <col min="6924" max="6924" width="9" style="805"/>
    <col min="6925" max="6925" width="1.5" style="805" customWidth="1"/>
    <col min="6926" max="6927" width="0.75" style="805" customWidth="1"/>
    <col min="6928" max="6928" width="5.625" style="805" customWidth="1"/>
    <col min="6929" max="6929" width="17.875" style="805" customWidth="1"/>
    <col min="6930" max="6930" width="4.875" style="805" customWidth="1"/>
    <col min="6931" max="6931" width="7.125" style="805" customWidth="1"/>
    <col min="6932" max="6933" width="6.375" style="805" customWidth="1"/>
    <col min="6934" max="6934" width="9" style="805"/>
    <col min="6935" max="6935" width="6.25" style="805" customWidth="1"/>
    <col min="6936" max="6936" width="4.625" style="805" customWidth="1"/>
    <col min="6937" max="6937" width="6" style="805" customWidth="1"/>
    <col min="6938" max="6938" width="5.75" style="805" customWidth="1"/>
    <col min="6939" max="6939" width="0.875" style="805" customWidth="1"/>
    <col min="6940" max="6940" width="4.5" style="805" customWidth="1"/>
    <col min="6941" max="6941" width="5.625" style="805" customWidth="1"/>
    <col min="6942" max="6942" width="11.5" style="805" customWidth="1"/>
    <col min="6943" max="6947" width="9" style="805"/>
    <col min="6948" max="6948" width="13.875" style="805" customWidth="1"/>
    <col min="6949" max="6949" width="4.5" style="805" customWidth="1"/>
    <col min="6950" max="7168" width="9" style="805"/>
    <col min="7169" max="7169" width="1" style="805" customWidth="1"/>
    <col min="7170" max="7170" width="15.625" style="805" customWidth="1"/>
    <col min="7171" max="7171" width="4.125" style="805" customWidth="1"/>
    <col min="7172" max="7172" width="9" style="805"/>
    <col min="7173" max="7173" width="1.875" style="805" customWidth="1"/>
    <col min="7174" max="7174" width="9" style="805"/>
    <col min="7175" max="7175" width="1.375" style="805" customWidth="1"/>
    <col min="7176" max="7176" width="0.75" style="805" customWidth="1"/>
    <col min="7177" max="7177" width="20" style="805" customWidth="1"/>
    <col min="7178" max="7178" width="9" style="805"/>
    <col min="7179" max="7179" width="1.25" style="805" customWidth="1"/>
    <col min="7180" max="7180" width="9" style="805"/>
    <col min="7181" max="7181" width="1.5" style="805" customWidth="1"/>
    <col min="7182" max="7183" width="0.75" style="805" customWidth="1"/>
    <col min="7184" max="7184" width="5.625" style="805" customWidth="1"/>
    <col min="7185" max="7185" width="17.875" style="805" customWidth="1"/>
    <col min="7186" max="7186" width="4.875" style="805" customWidth="1"/>
    <col min="7187" max="7187" width="7.125" style="805" customWidth="1"/>
    <col min="7188" max="7189" width="6.375" style="805" customWidth="1"/>
    <col min="7190" max="7190" width="9" style="805"/>
    <col min="7191" max="7191" width="6.25" style="805" customWidth="1"/>
    <col min="7192" max="7192" width="4.625" style="805" customWidth="1"/>
    <col min="7193" max="7193" width="6" style="805" customWidth="1"/>
    <col min="7194" max="7194" width="5.75" style="805" customWidth="1"/>
    <col min="7195" max="7195" width="0.875" style="805" customWidth="1"/>
    <col min="7196" max="7196" width="4.5" style="805" customWidth="1"/>
    <col min="7197" max="7197" width="5.625" style="805" customWidth="1"/>
    <col min="7198" max="7198" width="11.5" style="805" customWidth="1"/>
    <col min="7199" max="7203" width="9" style="805"/>
    <col min="7204" max="7204" width="13.875" style="805" customWidth="1"/>
    <col min="7205" max="7205" width="4.5" style="805" customWidth="1"/>
    <col min="7206" max="7424" width="9" style="805"/>
    <col min="7425" max="7425" width="1" style="805" customWidth="1"/>
    <col min="7426" max="7426" width="15.625" style="805" customWidth="1"/>
    <col min="7427" max="7427" width="4.125" style="805" customWidth="1"/>
    <col min="7428" max="7428" width="9" style="805"/>
    <col min="7429" max="7429" width="1.875" style="805" customWidth="1"/>
    <col min="7430" max="7430" width="9" style="805"/>
    <col min="7431" max="7431" width="1.375" style="805" customWidth="1"/>
    <col min="7432" max="7432" width="0.75" style="805" customWidth="1"/>
    <col min="7433" max="7433" width="20" style="805" customWidth="1"/>
    <col min="7434" max="7434" width="9" style="805"/>
    <col min="7435" max="7435" width="1.25" style="805" customWidth="1"/>
    <col min="7436" max="7436" width="9" style="805"/>
    <col min="7437" max="7437" width="1.5" style="805" customWidth="1"/>
    <col min="7438" max="7439" width="0.75" style="805" customWidth="1"/>
    <col min="7440" max="7440" width="5.625" style="805" customWidth="1"/>
    <col min="7441" max="7441" width="17.875" style="805" customWidth="1"/>
    <col min="7442" max="7442" width="4.875" style="805" customWidth="1"/>
    <col min="7443" max="7443" width="7.125" style="805" customWidth="1"/>
    <col min="7444" max="7445" width="6.375" style="805" customWidth="1"/>
    <col min="7446" max="7446" width="9" style="805"/>
    <col min="7447" max="7447" width="6.25" style="805" customWidth="1"/>
    <col min="7448" max="7448" width="4.625" style="805" customWidth="1"/>
    <col min="7449" max="7449" width="6" style="805" customWidth="1"/>
    <col min="7450" max="7450" width="5.75" style="805" customWidth="1"/>
    <col min="7451" max="7451" width="0.875" style="805" customWidth="1"/>
    <col min="7452" max="7452" width="4.5" style="805" customWidth="1"/>
    <col min="7453" max="7453" width="5.625" style="805" customWidth="1"/>
    <col min="7454" max="7454" width="11.5" style="805" customWidth="1"/>
    <col min="7455" max="7459" width="9" style="805"/>
    <col min="7460" max="7460" width="13.875" style="805" customWidth="1"/>
    <col min="7461" max="7461" width="4.5" style="805" customWidth="1"/>
    <col min="7462" max="7680" width="9" style="805"/>
    <col min="7681" max="7681" width="1" style="805" customWidth="1"/>
    <col min="7682" max="7682" width="15.625" style="805" customWidth="1"/>
    <col min="7683" max="7683" width="4.125" style="805" customWidth="1"/>
    <col min="7684" max="7684" width="9" style="805"/>
    <col min="7685" max="7685" width="1.875" style="805" customWidth="1"/>
    <col min="7686" max="7686" width="9" style="805"/>
    <col min="7687" max="7687" width="1.375" style="805" customWidth="1"/>
    <col min="7688" max="7688" width="0.75" style="805" customWidth="1"/>
    <col min="7689" max="7689" width="20" style="805" customWidth="1"/>
    <col min="7690" max="7690" width="9" style="805"/>
    <col min="7691" max="7691" width="1.25" style="805" customWidth="1"/>
    <col min="7692" max="7692" width="9" style="805"/>
    <col min="7693" max="7693" width="1.5" style="805" customWidth="1"/>
    <col min="7694" max="7695" width="0.75" style="805" customWidth="1"/>
    <col min="7696" max="7696" width="5.625" style="805" customWidth="1"/>
    <col min="7697" max="7697" width="17.875" style="805" customWidth="1"/>
    <col min="7698" max="7698" width="4.875" style="805" customWidth="1"/>
    <col min="7699" max="7699" width="7.125" style="805" customWidth="1"/>
    <col min="7700" max="7701" width="6.375" style="805" customWidth="1"/>
    <col min="7702" max="7702" width="9" style="805"/>
    <col min="7703" max="7703" width="6.25" style="805" customWidth="1"/>
    <col min="7704" max="7704" width="4.625" style="805" customWidth="1"/>
    <col min="7705" max="7705" width="6" style="805" customWidth="1"/>
    <col min="7706" max="7706" width="5.75" style="805" customWidth="1"/>
    <col min="7707" max="7707" width="0.875" style="805" customWidth="1"/>
    <col min="7708" max="7708" width="4.5" style="805" customWidth="1"/>
    <col min="7709" max="7709" width="5.625" style="805" customWidth="1"/>
    <col min="7710" max="7710" width="11.5" style="805" customWidth="1"/>
    <col min="7711" max="7715" width="9" style="805"/>
    <col min="7716" max="7716" width="13.875" style="805" customWidth="1"/>
    <col min="7717" max="7717" width="4.5" style="805" customWidth="1"/>
    <col min="7718" max="7936" width="9" style="805"/>
    <col min="7937" max="7937" width="1" style="805" customWidth="1"/>
    <col min="7938" max="7938" width="15.625" style="805" customWidth="1"/>
    <col min="7939" max="7939" width="4.125" style="805" customWidth="1"/>
    <col min="7940" max="7940" width="9" style="805"/>
    <col min="7941" max="7941" width="1.875" style="805" customWidth="1"/>
    <col min="7942" max="7942" width="9" style="805"/>
    <col min="7943" max="7943" width="1.375" style="805" customWidth="1"/>
    <col min="7944" max="7944" width="0.75" style="805" customWidth="1"/>
    <col min="7945" max="7945" width="20" style="805" customWidth="1"/>
    <col min="7946" max="7946" width="9" style="805"/>
    <col min="7947" max="7947" width="1.25" style="805" customWidth="1"/>
    <col min="7948" max="7948" width="9" style="805"/>
    <col min="7949" max="7949" width="1.5" style="805" customWidth="1"/>
    <col min="7950" max="7951" width="0.75" style="805" customWidth="1"/>
    <col min="7952" max="7952" width="5.625" style="805" customWidth="1"/>
    <col min="7953" max="7953" width="17.875" style="805" customWidth="1"/>
    <col min="7954" max="7954" width="4.875" style="805" customWidth="1"/>
    <col min="7955" max="7955" width="7.125" style="805" customWidth="1"/>
    <col min="7956" max="7957" width="6.375" style="805" customWidth="1"/>
    <col min="7958" max="7958" width="9" style="805"/>
    <col min="7959" max="7959" width="6.25" style="805" customWidth="1"/>
    <col min="7960" max="7960" width="4.625" style="805" customWidth="1"/>
    <col min="7961" max="7961" width="6" style="805" customWidth="1"/>
    <col min="7962" max="7962" width="5.75" style="805" customWidth="1"/>
    <col min="7963" max="7963" width="0.875" style="805" customWidth="1"/>
    <col min="7964" max="7964" width="4.5" style="805" customWidth="1"/>
    <col min="7965" max="7965" width="5.625" style="805" customWidth="1"/>
    <col min="7966" max="7966" width="11.5" style="805" customWidth="1"/>
    <col min="7967" max="7971" width="9" style="805"/>
    <col min="7972" max="7972" width="13.875" style="805" customWidth="1"/>
    <col min="7973" max="7973" width="4.5" style="805" customWidth="1"/>
    <col min="7974" max="8192" width="9" style="805"/>
    <col min="8193" max="8193" width="1" style="805" customWidth="1"/>
    <col min="8194" max="8194" width="15.625" style="805" customWidth="1"/>
    <col min="8195" max="8195" width="4.125" style="805" customWidth="1"/>
    <col min="8196" max="8196" width="9" style="805"/>
    <col min="8197" max="8197" width="1.875" style="805" customWidth="1"/>
    <col min="8198" max="8198" width="9" style="805"/>
    <col min="8199" max="8199" width="1.375" style="805" customWidth="1"/>
    <col min="8200" max="8200" width="0.75" style="805" customWidth="1"/>
    <col min="8201" max="8201" width="20" style="805" customWidth="1"/>
    <col min="8202" max="8202" width="9" style="805"/>
    <col min="8203" max="8203" width="1.25" style="805" customWidth="1"/>
    <col min="8204" max="8204" width="9" style="805"/>
    <col min="8205" max="8205" width="1.5" style="805" customWidth="1"/>
    <col min="8206" max="8207" width="0.75" style="805" customWidth="1"/>
    <col min="8208" max="8208" width="5.625" style="805" customWidth="1"/>
    <col min="8209" max="8209" width="17.875" style="805" customWidth="1"/>
    <col min="8210" max="8210" width="4.875" style="805" customWidth="1"/>
    <col min="8211" max="8211" width="7.125" style="805" customWidth="1"/>
    <col min="8212" max="8213" width="6.375" style="805" customWidth="1"/>
    <col min="8214" max="8214" width="9" style="805"/>
    <col min="8215" max="8215" width="6.25" style="805" customWidth="1"/>
    <col min="8216" max="8216" width="4.625" style="805" customWidth="1"/>
    <col min="8217" max="8217" width="6" style="805" customWidth="1"/>
    <col min="8218" max="8218" width="5.75" style="805" customWidth="1"/>
    <col min="8219" max="8219" width="0.875" style="805" customWidth="1"/>
    <col min="8220" max="8220" width="4.5" style="805" customWidth="1"/>
    <col min="8221" max="8221" width="5.625" style="805" customWidth="1"/>
    <col min="8222" max="8222" width="11.5" style="805" customWidth="1"/>
    <col min="8223" max="8227" width="9" style="805"/>
    <col min="8228" max="8228" width="13.875" style="805" customWidth="1"/>
    <col min="8229" max="8229" width="4.5" style="805" customWidth="1"/>
    <col min="8230" max="8448" width="9" style="805"/>
    <col min="8449" max="8449" width="1" style="805" customWidth="1"/>
    <col min="8450" max="8450" width="15.625" style="805" customWidth="1"/>
    <col min="8451" max="8451" width="4.125" style="805" customWidth="1"/>
    <col min="8452" max="8452" width="9" style="805"/>
    <col min="8453" max="8453" width="1.875" style="805" customWidth="1"/>
    <col min="8454" max="8454" width="9" style="805"/>
    <col min="8455" max="8455" width="1.375" style="805" customWidth="1"/>
    <col min="8456" max="8456" width="0.75" style="805" customWidth="1"/>
    <col min="8457" max="8457" width="20" style="805" customWidth="1"/>
    <col min="8458" max="8458" width="9" style="805"/>
    <col min="8459" max="8459" width="1.25" style="805" customWidth="1"/>
    <col min="8460" max="8460" width="9" style="805"/>
    <col min="8461" max="8461" width="1.5" style="805" customWidth="1"/>
    <col min="8462" max="8463" width="0.75" style="805" customWidth="1"/>
    <col min="8464" max="8464" width="5.625" style="805" customWidth="1"/>
    <col min="8465" max="8465" width="17.875" style="805" customWidth="1"/>
    <col min="8466" max="8466" width="4.875" style="805" customWidth="1"/>
    <col min="8467" max="8467" width="7.125" style="805" customWidth="1"/>
    <col min="8468" max="8469" width="6.375" style="805" customWidth="1"/>
    <col min="8470" max="8470" width="9" style="805"/>
    <col min="8471" max="8471" width="6.25" style="805" customWidth="1"/>
    <col min="8472" max="8472" width="4.625" style="805" customWidth="1"/>
    <col min="8473" max="8473" width="6" style="805" customWidth="1"/>
    <col min="8474" max="8474" width="5.75" style="805" customWidth="1"/>
    <col min="8475" max="8475" width="0.875" style="805" customWidth="1"/>
    <col min="8476" max="8476" width="4.5" style="805" customWidth="1"/>
    <col min="8477" max="8477" width="5.625" style="805" customWidth="1"/>
    <col min="8478" max="8478" width="11.5" style="805" customWidth="1"/>
    <col min="8479" max="8483" width="9" style="805"/>
    <col min="8484" max="8484" width="13.875" style="805" customWidth="1"/>
    <col min="8485" max="8485" width="4.5" style="805" customWidth="1"/>
    <col min="8486" max="8704" width="9" style="805"/>
    <col min="8705" max="8705" width="1" style="805" customWidth="1"/>
    <col min="8706" max="8706" width="15.625" style="805" customWidth="1"/>
    <col min="8707" max="8707" width="4.125" style="805" customWidth="1"/>
    <col min="8708" max="8708" width="9" style="805"/>
    <col min="8709" max="8709" width="1.875" style="805" customWidth="1"/>
    <col min="8710" max="8710" width="9" style="805"/>
    <col min="8711" max="8711" width="1.375" style="805" customWidth="1"/>
    <col min="8712" max="8712" width="0.75" style="805" customWidth="1"/>
    <col min="8713" max="8713" width="20" style="805" customWidth="1"/>
    <col min="8714" max="8714" width="9" style="805"/>
    <col min="8715" max="8715" width="1.25" style="805" customWidth="1"/>
    <col min="8716" max="8716" width="9" style="805"/>
    <col min="8717" max="8717" width="1.5" style="805" customWidth="1"/>
    <col min="8718" max="8719" width="0.75" style="805" customWidth="1"/>
    <col min="8720" max="8720" width="5.625" style="805" customWidth="1"/>
    <col min="8721" max="8721" width="17.875" style="805" customWidth="1"/>
    <col min="8722" max="8722" width="4.875" style="805" customWidth="1"/>
    <col min="8723" max="8723" width="7.125" style="805" customWidth="1"/>
    <col min="8724" max="8725" width="6.375" style="805" customWidth="1"/>
    <col min="8726" max="8726" width="9" style="805"/>
    <col min="8727" max="8727" width="6.25" style="805" customWidth="1"/>
    <col min="8728" max="8728" width="4.625" style="805" customWidth="1"/>
    <col min="8729" max="8729" width="6" style="805" customWidth="1"/>
    <col min="8730" max="8730" width="5.75" style="805" customWidth="1"/>
    <col min="8731" max="8731" width="0.875" style="805" customWidth="1"/>
    <col min="8732" max="8732" width="4.5" style="805" customWidth="1"/>
    <col min="8733" max="8733" width="5.625" style="805" customWidth="1"/>
    <col min="8734" max="8734" width="11.5" style="805" customWidth="1"/>
    <col min="8735" max="8739" width="9" style="805"/>
    <col min="8740" max="8740" width="13.875" style="805" customWidth="1"/>
    <col min="8741" max="8741" width="4.5" style="805" customWidth="1"/>
    <col min="8742" max="8960" width="9" style="805"/>
    <col min="8961" max="8961" width="1" style="805" customWidth="1"/>
    <col min="8962" max="8962" width="15.625" style="805" customWidth="1"/>
    <col min="8963" max="8963" width="4.125" style="805" customWidth="1"/>
    <col min="8964" max="8964" width="9" style="805"/>
    <col min="8965" max="8965" width="1.875" style="805" customWidth="1"/>
    <col min="8966" max="8966" width="9" style="805"/>
    <col min="8967" max="8967" width="1.375" style="805" customWidth="1"/>
    <col min="8968" max="8968" width="0.75" style="805" customWidth="1"/>
    <col min="8969" max="8969" width="20" style="805" customWidth="1"/>
    <col min="8970" max="8970" width="9" style="805"/>
    <col min="8971" max="8971" width="1.25" style="805" customWidth="1"/>
    <col min="8972" max="8972" width="9" style="805"/>
    <col min="8973" max="8973" width="1.5" style="805" customWidth="1"/>
    <col min="8974" max="8975" width="0.75" style="805" customWidth="1"/>
    <col min="8976" max="8976" width="5.625" style="805" customWidth="1"/>
    <col min="8977" max="8977" width="17.875" style="805" customWidth="1"/>
    <col min="8978" max="8978" width="4.875" style="805" customWidth="1"/>
    <col min="8979" max="8979" width="7.125" style="805" customWidth="1"/>
    <col min="8980" max="8981" width="6.375" style="805" customWidth="1"/>
    <col min="8982" max="8982" width="9" style="805"/>
    <col min="8983" max="8983" width="6.25" style="805" customWidth="1"/>
    <col min="8984" max="8984" width="4.625" style="805" customWidth="1"/>
    <col min="8985" max="8985" width="6" style="805" customWidth="1"/>
    <col min="8986" max="8986" width="5.75" style="805" customWidth="1"/>
    <col min="8987" max="8987" width="0.875" style="805" customWidth="1"/>
    <col min="8988" max="8988" width="4.5" style="805" customWidth="1"/>
    <col min="8989" max="8989" width="5.625" style="805" customWidth="1"/>
    <col min="8990" max="8990" width="11.5" style="805" customWidth="1"/>
    <col min="8991" max="8995" width="9" style="805"/>
    <col min="8996" max="8996" width="13.875" style="805" customWidth="1"/>
    <col min="8997" max="8997" width="4.5" style="805" customWidth="1"/>
    <col min="8998" max="9216" width="9" style="805"/>
    <col min="9217" max="9217" width="1" style="805" customWidth="1"/>
    <col min="9218" max="9218" width="15.625" style="805" customWidth="1"/>
    <col min="9219" max="9219" width="4.125" style="805" customWidth="1"/>
    <col min="9220" max="9220" width="9" style="805"/>
    <col min="9221" max="9221" width="1.875" style="805" customWidth="1"/>
    <col min="9222" max="9222" width="9" style="805"/>
    <col min="9223" max="9223" width="1.375" style="805" customWidth="1"/>
    <col min="9224" max="9224" width="0.75" style="805" customWidth="1"/>
    <col min="9225" max="9225" width="20" style="805" customWidth="1"/>
    <col min="9226" max="9226" width="9" style="805"/>
    <col min="9227" max="9227" width="1.25" style="805" customWidth="1"/>
    <col min="9228" max="9228" width="9" style="805"/>
    <col min="9229" max="9229" width="1.5" style="805" customWidth="1"/>
    <col min="9230" max="9231" width="0.75" style="805" customWidth="1"/>
    <col min="9232" max="9232" width="5.625" style="805" customWidth="1"/>
    <col min="9233" max="9233" width="17.875" style="805" customWidth="1"/>
    <col min="9234" max="9234" width="4.875" style="805" customWidth="1"/>
    <col min="9235" max="9235" width="7.125" style="805" customWidth="1"/>
    <col min="9236" max="9237" width="6.375" style="805" customWidth="1"/>
    <col min="9238" max="9238" width="9" style="805"/>
    <col min="9239" max="9239" width="6.25" style="805" customWidth="1"/>
    <col min="9240" max="9240" width="4.625" style="805" customWidth="1"/>
    <col min="9241" max="9241" width="6" style="805" customWidth="1"/>
    <col min="9242" max="9242" width="5.75" style="805" customWidth="1"/>
    <col min="9243" max="9243" width="0.875" style="805" customWidth="1"/>
    <col min="9244" max="9244" width="4.5" style="805" customWidth="1"/>
    <col min="9245" max="9245" width="5.625" style="805" customWidth="1"/>
    <col min="9246" max="9246" width="11.5" style="805" customWidth="1"/>
    <col min="9247" max="9251" width="9" style="805"/>
    <col min="9252" max="9252" width="13.875" style="805" customWidth="1"/>
    <col min="9253" max="9253" width="4.5" style="805" customWidth="1"/>
    <col min="9254" max="9472" width="9" style="805"/>
    <col min="9473" max="9473" width="1" style="805" customWidth="1"/>
    <col min="9474" max="9474" width="15.625" style="805" customWidth="1"/>
    <col min="9475" max="9475" width="4.125" style="805" customWidth="1"/>
    <col min="9476" max="9476" width="9" style="805"/>
    <col min="9477" max="9477" width="1.875" style="805" customWidth="1"/>
    <col min="9478" max="9478" width="9" style="805"/>
    <col min="9479" max="9479" width="1.375" style="805" customWidth="1"/>
    <col min="9480" max="9480" width="0.75" style="805" customWidth="1"/>
    <col min="9481" max="9481" width="20" style="805" customWidth="1"/>
    <col min="9482" max="9482" width="9" style="805"/>
    <col min="9483" max="9483" width="1.25" style="805" customWidth="1"/>
    <col min="9484" max="9484" width="9" style="805"/>
    <col min="9485" max="9485" width="1.5" style="805" customWidth="1"/>
    <col min="9486" max="9487" width="0.75" style="805" customWidth="1"/>
    <col min="9488" max="9488" width="5.625" style="805" customWidth="1"/>
    <col min="9489" max="9489" width="17.875" style="805" customWidth="1"/>
    <col min="9490" max="9490" width="4.875" style="805" customWidth="1"/>
    <col min="9491" max="9491" width="7.125" style="805" customWidth="1"/>
    <col min="9492" max="9493" width="6.375" style="805" customWidth="1"/>
    <col min="9494" max="9494" width="9" style="805"/>
    <col min="9495" max="9495" width="6.25" style="805" customWidth="1"/>
    <col min="9496" max="9496" width="4.625" style="805" customWidth="1"/>
    <col min="9497" max="9497" width="6" style="805" customWidth="1"/>
    <col min="9498" max="9498" width="5.75" style="805" customWidth="1"/>
    <col min="9499" max="9499" width="0.875" style="805" customWidth="1"/>
    <col min="9500" max="9500" width="4.5" style="805" customWidth="1"/>
    <col min="9501" max="9501" width="5.625" style="805" customWidth="1"/>
    <col min="9502" max="9502" width="11.5" style="805" customWidth="1"/>
    <col min="9503" max="9507" width="9" style="805"/>
    <col min="9508" max="9508" width="13.875" style="805" customWidth="1"/>
    <col min="9509" max="9509" width="4.5" style="805" customWidth="1"/>
    <col min="9510" max="9728" width="9" style="805"/>
    <col min="9729" max="9729" width="1" style="805" customWidth="1"/>
    <col min="9730" max="9730" width="15.625" style="805" customWidth="1"/>
    <col min="9731" max="9731" width="4.125" style="805" customWidth="1"/>
    <col min="9732" max="9732" width="9" style="805"/>
    <col min="9733" max="9733" width="1.875" style="805" customWidth="1"/>
    <col min="9734" max="9734" width="9" style="805"/>
    <col min="9735" max="9735" width="1.375" style="805" customWidth="1"/>
    <col min="9736" max="9736" width="0.75" style="805" customWidth="1"/>
    <col min="9737" max="9737" width="20" style="805" customWidth="1"/>
    <col min="9738" max="9738" width="9" style="805"/>
    <col min="9739" max="9739" width="1.25" style="805" customWidth="1"/>
    <col min="9740" max="9740" width="9" style="805"/>
    <col min="9741" max="9741" width="1.5" style="805" customWidth="1"/>
    <col min="9742" max="9743" width="0.75" style="805" customWidth="1"/>
    <col min="9744" max="9744" width="5.625" style="805" customWidth="1"/>
    <col min="9745" max="9745" width="17.875" style="805" customWidth="1"/>
    <col min="9746" max="9746" width="4.875" style="805" customWidth="1"/>
    <col min="9747" max="9747" width="7.125" style="805" customWidth="1"/>
    <col min="9748" max="9749" width="6.375" style="805" customWidth="1"/>
    <col min="9750" max="9750" width="9" style="805"/>
    <col min="9751" max="9751" width="6.25" style="805" customWidth="1"/>
    <col min="9752" max="9752" width="4.625" style="805" customWidth="1"/>
    <col min="9753" max="9753" width="6" style="805" customWidth="1"/>
    <col min="9754" max="9754" width="5.75" style="805" customWidth="1"/>
    <col min="9755" max="9755" width="0.875" style="805" customWidth="1"/>
    <col min="9756" max="9756" width="4.5" style="805" customWidth="1"/>
    <col min="9757" max="9757" width="5.625" style="805" customWidth="1"/>
    <col min="9758" max="9758" width="11.5" style="805" customWidth="1"/>
    <col min="9759" max="9763" width="9" style="805"/>
    <col min="9764" max="9764" width="13.875" style="805" customWidth="1"/>
    <col min="9765" max="9765" width="4.5" style="805" customWidth="1"/>
    <col min="9766" max="9984" width="9" style="805"/>
    <col min="9985" max="9985" width="1" style="805" customWidth="1"/>
    <col min="9986" max="9986" width="15.625" style="805" customWidth="1"/>
    <col min="9987" max="9987" width="4.125" style="805" customWidth="1"/>
    <col min="9988" max="9988" width="9" style="805"/>
    <col min="9989" max="9989" width="1.875" style="805" customWidth="1"/>
    <col min="9990" max="9990" width="9" style="805"/>
    <col min="9991" max="9991" width="1.375" style="805" customWidth="1"/>
    <col min="9992" max="9992" width="0.75" style="805" customWidth="1"/>
    <col min="9993" max="9993" width="20" style="805" customWidth="1"/>
    <col min="9994" max="9994" width="9" style="805"/>
    <col min="9995" max="9995" width="1.25" style="805" customWidth="1"/>
    <col min="9996" max="9996" width="9" style="805"/>
    <col min="9997" max="9997" width="1.5" style="805" customWidth="1"/>
    <col min="9998" max="9999" width="0.75" style="805" customWidth="1"/>
    <col min="10000" max="10000" width="5.625" style="805" customWidth="1"/>
    <col min="10001" max="10001" width="17.875" style="805" customWidth="1"/>
    <col min="10002" max="10002" width="4.875" style="805" customWidth="1"/>
    <col min="10003" max="10003" width="7.125" style="805" customWidth="1"/>
    <col min="10004" max="10005" width="6.375" style="805" customWidth="1"/>
    <col min="10006" max="10006" width="9" style="805"/>
    <col min="10007" max="10007" width="6.25" style="805" customWidth="1"/>
    <col min="10008" max="10008" width="4.625" style="805" customWidth="1"/>
    <col min="10009" max="10009" width="6" style="805" customWidth="1"/>
    <col min="10010" max="10010" width="5.75" style="805" customWidth="1"/>
    <col min="10011" max="10011" width="0.875" style="805" customWidth="1"/>
    <col min="10012" max="10012" width="4.5" style="805" customWidth="1"/>
    <col min="10013" max="10013" width="5.625" style="805" customWidth="1"/>
    <col min="10014" max="10014" width="11.5" style="805" customWidth="1"/>
    <col min="10015" max="10019" width="9" style="805"/>
    <col min="10020" max="10020" width="13.875" style="805" customWidth="1"/>
    <col min="10021" max="10021" width="4.5" style="805" customWidth="1"/>
    <col min="10022" max="10240" width="9" style="805"/>
    <col min="10241" max="10241" width="1" style="805" customWidth="1"/>
    <col min="10242" max="10242" width="15.625" style="805" customWidth="1"/>
    <col min="10243" max="10243" width="4.125" style="805" customWidth="1"/>
    <col min="10244" max="10244" width="9" style="805"/>
    <col min="10245" max="10245" width="1.875" style="805" customWidth="1"/>
    <col min="10246" max="10246" width="9" style="805"/>
    <col min="10247" max="10247" width="1.375" style="805" customWidth="1"/>
    <col min="10248" max="10248" width="0.75" style="805" customWidth="1"/>
    <col min="10249" max="10249" width="20" style="805" customWidth="1"/>
    <col min="10250" max="10250" width="9" style="805"/>
    <col min="10251" max="10251" width="1.25" style="805" customWidth="1"/>
    <col min="10252" max="10252" width="9" style="805"/>
    <col min="10253" max="10253" width="1.5" style="805" customWidth="1"/>
    <col min="10254" max="10255" width="0.75" style="805" customWidth="1"/>
    <col min="10256" max="10256" width="5.625" style="805" customWidth="1"/>
    <col min="10257" max="10257" width="17.875" style="805" customWidth="1"/>
    <col min="10258" max="10258" width="4.875" style="805" customWidth="1"/>
    <col min="10259" max="10259" width="7.125" style="805" customWidth="1"/>
    <col min="10260" max="10261" width="6.375" style="805" customWidth="1"/>
    <col min="10262" max="10262" width="9" style="805"/>
    <col min="10263" max="10263" width="6.25" style="805" customWidth="1"/>
    <col min="10264" max="10264" width="4.625" style="805" customWidth="1"/>
    <col min="10265" max="10265" width="6" style="805" customWidth="1"/>
    <col min="10266" max="10266" width="5.75" style="805" customWidth="1"/>
    <col min="10267" max="10267" width="0.875" style="805" customWidth="1"/>
    <col min="10268" max="10268" width="4.5" style="805" customWidth="1"/>
    <col min="10269" max="10269" width="5.625" style="805" customWidth="1"/>
    <col min="10270" max="10270" width="11.5" style="805" customWidth="1"/>
    <col min="10271" max="10275" width="9" style="805"/>
    <col min="10276" max="10276" width="13.875" style="805" customWidth="1"/>
    <col min="10277" max="10277" width="4.5" style="805" customWidth="1"/>
    <col min="10278" max="10496" width="9" style="805"/>
    <col min="10497" max="10497" width="1" style="805" customWidth="1"/>
    <col min="10498" max="10498" width="15.625" style="805" customWidth="1"/>
    <col min="10499" max="10499" width="4.125" style="805" customWidth="1"/>
    <col min="10500" max="10500" width="9" style="805"/>
    <col min="10501" max="10501" width="1.875" style="805" customWidth="1"/>
    <col min="10502" max="10502" width="9" style="805"/>
    <col min="10503" max="10503" width="1.375" style="805" customWidth="1"/>
    <col min="10504" max="10504" width="0.75" style="805" customWidth="1"/>
    <col min="10505" max="10505" width="20" style="805" customWidth="1"/>
    <col min="10506" max="10506" width="9" style="805"/>
    <col min="10507" max="10507" width="1.25" style="805" customWidth="1"/>
    <col min="10508" max="10508" width="9" style="805"/>
    <col min="10509" max="10509" width="1.5" style="805" customWidth="1"/>
    <col min="10510" max="10511" width="0.75" style="805" customWidth="1"/>
    <col min="10512" max="10512" width="5.625" style="805" customWidth="1"/>
    <col min="10513" max="10513" width="17.875" style="805" customWidth="1"/>
    <col min="10514" max="10514" width="4.875" style="805" customWidth="1"/>
    <col min="10515" max="10515" width="7.125" style="805" customWidth="1"/>
    <col min="10516" max="10517" width="6.375" style="805" customWidth="1"/>
    <col min="10518" max="10518" width="9" style="805"/>
    <col min="10519" max="10519" width="6.25" style="805" customWidth="1"/>
    <col min="10520" max="10520" width="4.625" style="805" customWidth="1"/>
    <col min="10521" max="10521" width="6" style="805" customWidth="1"/>
    <col min="10522" max="10522" width="5.75" style="805" customWidth="1"/>
    <col min="10523" max="10523" width="0.875" style="805" customWidth="1"/>
    <col min="10524" max="10524" width="4.5" style="805" customWidth="1"/>
    <col min="10525" max="10525" width="5.625" style="805" customWidth="1"/>
    <col min="10526" max="10526" width="11.5" style="805" customWidth="1"/>
    <col min="10527" max="10531" width="9" style="805"/>
    <col min="10532" max="10532" width="13.875" style="805" customWidth="1"/>
    <col min="10533" max="10533" width="4.5" style="805" customWidth="1"/>
    <col min="10534" max="10752" width="9" style="805"/>
    <col min="10753" max="10753" width="1" style="805" customWidth="1"/>
    <col min="10754" max="10754" width="15.625" style="805" customWidth="1"/>
    <col min="10755" max="10755" width="4.125" style="805" customWidth="1"/>
    <col min="10756" max="10756" width="9" style="805"/>
    <col min="10757" max="10757" width="1.875" style="805" customWidth="1"/>
    <col min="10758" max="10758" width="9" style="805"/>
    <col min="10759" max="10759" width="1.375" style="805" customWidth="1"/>
    <col min="10760" max="10760" width="0.75" style="805" customWidth="1"/>
    <col min="10761" max="10761" width="20" style="805" customWidth="1"/>
    <col min="10762" max="10762" width="9" style="805"/>
    <col min="10763" max="10763" width="1.25" style="805" customWidth="1"/>
    <col min="10764" max="10764" width="9" style="805"/>
    <col min="10765" max="10765" width="1.5" style="805" customWidth="1"/>
    <col min="10766" max="10767" width="0.75" style="805" customWidth="1"/>
    <col min="10768" max="10768" width="5.625" style="805" customWidth="1"/>
    <col min="10769" max="10769" width="17.875" style="805" customWidth="1"/>
    <col min="10770" max="10770" width="4.875" style="805" customWidth="1"/>
    <col min="10771" max="10771" width="7.125" style="805" customWidth="1"/>
    <col min="10772" max="10773" width="6.375" style="805" customWidth="1"/>
    <col min="10774" max="10774" width="9" style="805"/>
    <col min="10775" max="10775" width="6.25" style="805" customWidth="1"/>
    <col min="10776" max="10776" width="4.625" style="805" customWidth="1"/>
    <col min="10777" max="10777" width="6" style="805" customWidth="1"/>
    <col min="10778" max="10778" width="5.75" style="805" customWidth="1"/>
    <col min="10779" max="10779" width="0.875" style="805" customWidth="1"/>
    <col min="10780" max="10780" width="4.5" style="805" customWidth="1"/>
    <col min="10781" max="10781" width="5.625" style="805" customWidth="1"/>
    <col min="10782" max="10782" width="11.5" style="805" customWidth="1"/>
    <col min="10783" max="10787" width="9" style="805"/>
    <col min="10788" max="10788" width="13.875" style="805" customWidth="1"/>
    <col min="10789" max="10789" width="4.5" style="805" customWidth="1"/>
    <col min="10790" max="11008" width="9" style="805"/>
    <col min="11009" max="11009" width="1" style="805" customWidth="1"/>
    <col min="11010" max="11010" width="15.625" style="805" customWidth="1"/>
    <col min="11011" max="11011" width="4.125" style="805" customWidth="1"/>
    <col min="11012" max="11012" width="9" style="805"/>
    <col min="11013" max="11013" width="1.875" style="805" customWidth="1"/>
    <col min="11014" max="11014" width="9" style="805"/>
    <col min="11015" max="11015" width="1.375" style="805" customWidth="1"/>
    <col min="11016" max="11016" width="0.75" style="805" customWidth="1"/>
    <col min="11017" max="11017" width="20" style="805" customWidth="1"/>
    <col min="11018" max="11018" width="9" style="805"/>
    <col min="11019" max="11019" width="1.25" style="805" customWidth="1"/>
    <col min="11020" max="11020" width="9" style="805"/>
    <col min="11021" max="11021" width="1.5" style="805" customWidth="1"/>
    <col min="11022" max="11023" width="0.75" style="805" customWidth="1"/>
    <col min="11024" max="11024" width="5.625" style="805" customWidth="1"/>
    <col min="11025" max="11025" width="17.875" style="805" customWidth="1"/>
    <col min="11026" max="11026" width="4.875" style="805" customWidth="1"/>
    <col min="11027" max="11027" width="7.125" style="805" customWidth="1"/>
    <col min="11028" max="11029" width="6.375" style="805" customWidth="1"/>
    <col min="11030" max="11030" width="9" style="805"/>
    <col min="11031" max="11031" width="6.25" style="805" customWidth="1"/>
    <col min="11032" max="11032" width="4.625" style="805" customWidth="1"/>
    <col min="11033" max="11033" width="6" style="805" customWidth="1"/>
    <col min="11034" max="11034" width="5.75" style="805" customWidth="1"/>
    <col min="11035" max="11035" width="0.875" style="805" customWidth="1"/>
    <col min="11036" max="11036" width="4.5" style="805" customWidth="1"/>
    <col min="11037" max="11037" width="5.625" style="805" customWidth="1"/>
    <col min="11038" max="11038" width="11.5" style="805" customWidth="1"/>
    <col min="11039" max="11043" width="9" style="805"/>
    <col min="11044" max="11044" width="13.875" style="805" customWidth="1"/>
    <col min="11045" max="11045" width="4.5" style="805" customWidth="1"/>
    <col min="11046" max="11264" width="9" style="805"/>
    <col min="11265" max="11265" width="1" style="805" customWidth="1"/>
    <col min="11266" max="11266" width="15.625" style="805" customWidth="1"/>
    <col min="11267" max="11267" width="4.125" style="805" customWidth="1"/>
    <col min="11268" max="11268" width="9" style="805"/>
    <col min="11269" max="11269" width="1.875" style="805" customWidth="1"/>
    <col min="11270" max="11270" width="9" style="805"/>
    <col min="11271" max="11271" width="1.375" style="805" customWidth="1"/>
    <col min="11272" max="11272" width="0.75" style="805" customWidth="1"/>
    <col min="11273" max="11273" width="20" style="805" customWidth="1"/>
    <col min="11274" max="11274" width="9" style="805"/>
    <col min="11275" max="11275" width="1.25" style="805" customWidth="1"/>
    <col min="11276" max="11276" width="9" style="805"/>
    <col min="11277" max="11277" width="1.5" style="805" customWidth="1"/>
    <col min="11278" max="11279" width="0.75" style="805" customWidth="1"/>
    <col min="11280" max="11280" width="5.625" style="805" customWidth="1"/>
    <col min="11281" max="11281" width="17.875" style="805" customWidth="1"/>
    <col min="11282" max="11282" width="4.875" style="805" customWidth="1"/>
    <col min="11283" max="11283" width="7.125" style="805" customWidth="1"/>
    <col min="11284" max="11285" width="6.375" style="805" customWidth="1"/>
    <col min="11286" max="11286" width="9" style="805"/>
    <col min="11287" max="11287" width="6.25" style="805" customWidth="1"/>
    <col min="11288" max="11288" width="4.625" style="805" customWidth="1"/>
    <col min="11289" max="11289" width="6" style="805" customWidth="1"/>
    <col min="11290" max="11290" width="5.75" style="805" customWidth="1"/>
    <col min="11291" max="11291" width="0.875" style="805" customWidth="1"/>
    <col min="11292" max="11292" width="4.5" style="805" customWidth="1"/>
    <col min="11293" max="11293" width="5.625" style="805" customWidth="1"/>
    <col min="11294" max="11294" width="11.5" style="805" customWidth="1"/>
    <col min="11295" max="11299" width="9" style="805"/>
    <col min="11300" max="11300" width="13.875" style="805" customWidth="1"/>
    <col min="11301" max="11301" width="4.5" style="805" customWidth="1"/>
    <col min="11302" max="11520" width="9" style="805"/>
    <col min="11521" max="11521" width="1" style="805" customWidth="1"/>
    <col min="11522" max="11522" width="15.625" style="805" customWidth="1"/>
    <col min="11523" max="11523" width="4.125" style="805" customWidth="1"/>
    <col min="11524" max="11524" width="9" style="805"/>
    <col min="11525" max="11525" width="1.875" style="805" customWidth="1"/>
    <col min="11526" max="11526" width="9" style="805"/>
    <col min="11527" max="11527" width="1.375" style="805" customWidth="1"/>
    <col min="11528" max="11528" width="0.75" style="805" customWidth="1"/>
    <col min="11529" max="11529" width="20" style="805" customWidth="1"/>
    <col min="11530" max="11530" width="9" style="805"/>
    <col min="11531" max="11531" width="1.25" style="805" customWidth="1"/>
    <col min="11532" max="11532" width="9" style="805"/>
    <col min="11533" max="11533" width="1.5" style="805" customWidth="1"/>
    <col min="11534" max="11535" width="0.75" style="805" customWidth="1"/>
    <col min="11536" max="11536" width="5.625" style="805" customWidth="1"/>
    <col min="11537" max="11537" width="17.875" style="805" customWidth="1"/>
    <col min="11538" max="11538" width="4.875" style="805" customWidth="1"/>
    <col min="11539" max="11539" width="7.125" style="805" customWidth="1"/>
    <col min="11540" max="11541" width="6.375" style="805" customWidth="1"/>
    <col min="11542" max="11542" width="9" style="805"/>
    <col min="11543" max="11543" width="6.25" style="805" customWidth="1"/>
    <col min="11544" max="11544" width="4.625" style="805" customWidth="1"/>
    <col min="11545" max="11545" width="6" style="805" customWidth="1"/>
    <col min="11546" max="11546" width="5.75" style="805" customWidth="1"/>
    <col min="11547" max="11547" width="0.875" style="805" customWidth="1"/>
    <col min="11548" max="11548" width="4.5" style="805" customWidth="1"/>
    <col min="11549" max="11549" width="5.625" style="805" customWidth="1"/>
    <col min="11550" max="11550" width="11.5" style="805" customWidth="1"/>
    <col min="11551" max="11555" width="9" style="805"/>
    <col min="11556" max="11556" width="13.875" style="805" customWidth="1"/>
    <col min="11557" max="11557" width="4.5" style="805" customWidth="1"/>
    <col min="11558" max="11776" width="9" style="805"/>
    <col min="11777" max="11777" width="1" style="805" customWidth="1"/>
    <col min="11778" max="11778" width="15.625" style="805" customWidth="1"/>
    <col min="11779" max="11779" width="4.125" style="805" customWidth="1"/>
    <col min="11780" max="11780" width="9" style="805"/>
    <col min="11781" max="11781" width="1.875" style="805" customWidth="1"/>
    <col min="11782" max="11782" width="9" style="805"/>
    <col min="11783" max="11783" width="1.375" style="805" customWidth="1"/>
    <col min="11784" max="11784" width="0.75" style="805" customWidth="1"/>
    <col min="11785" max="11785" width="20" style="805" customWidth="1"/>
    <col min="11786" max="11786" width="9" style="805"/>
    <col min="11787" max="11787" width="1.25" style="805" customWidth="1"/>
    <col min="11788" max="11788" width="9" style="805"/>
    <col min="11789" max="11789" width="1.5" style="805" customWidth="1"/>
    <col min="11790" max="11791" width="0.75" style="805" customWidth="1"/>
    <col min="11792" max="11792" width="5.625" style="805" customWidth="1"/>
    <col min="11793" max="11793" width="17.875" style="805" customWidth="1"/>
    <col min="11794" max="11794" width="4.875" style="805" customWidth="1"/>
    <col min="11795" max="11795" width="7.125" style="805" customWidth="1"/>
    <col min="11796" max="11797" width="6.375" style="805" customWidth="1"/>
    <col min="11798" max="11798" width="9" style="805"/>
    <col min="11799" max="11799" width="6.25" style="805" customWidth="1"/>
    <col min="11800" max="11800" width="4.625" style="805" customWidth="1"/>
    <col min="11801" max="11801" width="6" style="805" customWidth="1"/>
    <col min="11802" max="11802" width="5.75" style="805" customWidth="1"/>
    <col min="11803" max="11803" width="0.875" style="805" customWidth="1"/>
    <col min="11804" max="11804" width="4.5" style="805" customWidth="1"/>
    <col min="11805" max="11805" width="5.625" style="805" customWidth="1"/>
    <col min="11806" max="11806" width="11.5" style="805" customWidth="1"/>
    <col min="11807" max="11811" width="9" style="805"/>
    <col min="11812" max="11812" width="13.875" style="805" customWidth="1"/>
    <col min="11813" max="11813" width="4.5" style="805" customWidth="1"/>
    <col min="11814" max="12032" width="9" style="805"/>
    <col min="12033" max="12033" width="1" style="805" customWidth="1"/>
    <col min="12034" max="12034" width="15.625" style="805" customWidth="1"/>
    <col min="12035" max="12035" width="4.125" style="805" customWidth="1"/>
    <col min="12036" max="12036" width="9" style="805"/>
    <col min="12037" max="12037" width="1.875" style="805" customWidth="1"/>
    <col min="12038" max="12038" width="9" style="805"/>
    <col min="12039" max="12039" width="1.375" style="805" customWidth="1"/>
    <col min="12040" max="12040" width="0.75" style="805" customWidth="1"/>
    <col min="12041" max="12041" width="20" style="805" customWidth="1"/>
    <col min="12042" max="12042" width="9" style="805"/>
    <col min="12043" max="12043" width="1.25" style="805" customWidth="1"/>
    <col min="12044" max="12044" width="9" style="805"/>
    <col min="12045" max="12045" width="1.5" style="805" customWidth="1"/>
    <col min="12046" max="12047" width="0.75" style="805" customWidth="1"/>
    <col min="12048" max="12048" width="5.625" style="805" customWidth="1"/>
    <col min="12049" max="12049" width="17.875" style="805" customWidth="1"/>
    <col min="12050" max="12050" width="4.875" style="805" customWidth="1"/>
    <col min="12051" max="12051" width="7.125" style="805" customWidth="1"/>
    <col min="12052" max="12053" width="6.375" style="805" customWidth="1"/>
    <col min="12054" max="12054" width="9" style="805"/>
    <col min="12055" max="12055" width="6.25" style="805" customWidth="1"/>
    <col min="12056" max="12056" width="4.625" style="805" customWidth="1"/>
    <col min="12057" max="12057" width="6" style="805" customWidth="1"/>
    <col min="12058" max="12058" width="5.75" style="805" customWidth="1"/>
    <col min="12059" max="12059" width="0.875" style="805" customWidth="1"/>
    <col min="12060" max="12060" width="4.5" style="805" customWidth="1"/>
    <col min="12061" max="12061" width="5.625" style="805" customWidth="1"/>
    <col min="12062" max="12062" width="11.5" style="805" customWidth="1"/>
    <col min="12063" max="12067" width="9" style="805"/>
    <col min="12068" max="12068" width="13.875" style="805" customWidth="1"/>
    <col min="12069" max="12069" width="4.5" style="805" customWidth="1"/>
    <col min="12070" max="12288" width="9" style="805"/>
    <col min="12289" max="12289" width="1" style="805" customWidth="1"/>
    <col min="12290" max="12290" width="15.625" style="805" customWidth="1"/>
    <col min="12291" max="12291" width="4.125" style="805" customWidth="1"/>
    <col min="12292" max="12292" width="9" style="805"/>
    <col min="12293" max="12293" width="1.875" style="805" customWidth="1"/>
    <col min="12294" max="12294" width="9" style="805"/>
    <col min="12295" max="12295" width="1.375" style="805" customWidth="1"/>
    <col min="12296" max="12296" width="0.75" style="805" customWidth="1"/>
    <col min="12297" max="12297" width="20" style="805" customWidth="1"/>
    <col min="12298" max="12298" width="9" style="805"/>
    <col min="12299" max="12299" width="1.25" style="805" customWidth="1"/>
    <col min="12300" max="12300" width="9" style="805"/>
    <col min="12301" max="12301" width="1.5" style="805" customWidth="1"/>
    <col min="12302" max="12303" width="0.75" style="805" customWidth="1"/>
    <col min="12304" max="12304" width="5.625" style="805" customWidth="1"/>
    <col min="12305" max="12305" width="17.875" style="805" customWidth="1"/>
    <col min="12306" max="12306" width="4.875" style="805" customWidth="1"/>
    <col min="12307" max="12307" width="7.125" style="805" customWidth="1"/>
    <col min="12308" max="12309" width="6.375" style="805" customWidth="1"/>
    <col min="12310" max="12310" width="9" style="805"/>
    <col min="12311" max="12311" width="6.25" style="805" customWidth="1"/>
    <col min="12312" max="12312" width="4.625" style="805" customWidth="1"/>
    <col min="12313" max="12313" width="6" style="805" customWidth="1"/>
    <col min="12314" max="12314" width="5.75" style="805" customWidth="1"/>
    <col min="12315" max="12315" width="0.875" style="805" customWidth="1"/>
    <col min="12316" max="12316" width="4.5" style="805" customWidth="1"/>
    <col min="12317" max="12317" width="5.625" style="805" customWidth="1"/>
    <col min="12318" max="12318" width="11.5" style="805" customWidth="1"/>
    <col min="12319" max="12323" width="9" style="805"/>
    <col min="12324" max="12324" width="13.875" style="805" customWidth="1"/>
    <col min="12325" max="12325" width="4.5" style="805" customWidth="1"/>
    <col min="12326" max="12544" width="9" style="805"/>
    <col min="12545" max="12545" width="1" style="805" customWidth="1"/>
    <col min="12546" max="12546" width="15.625" style="805" customWidth="1"/>
    <col min="12547" max="12547" width="4.125" style="805" customWidth="1"/>
    <col min="12548" max="12548" width="9" style="805"/>
    <col min="12549" max="12549" width="1.875" style="805" customWidth="1"/>
    <col min="12550" max="12550" width="9" style="805"/>
    <col min="12551" max="12551" width="1.375" style="805" customWidth="1"/>
    <col min="12552" max="12552" width="0.75" style="805" customWidth="1"/>
    <col min="12553" max="12553" width="20" style="805" customWidth="1"/>
    <col min="12554" max="12554" width="9" style="805"/>
    <col min="12555" max="12555" width="1.25" style="805" customWidth="1"/>
    <col min="12556" max="12556" width="9" style="805"/>
    <col min="12557" max="12557" width="1.5" style="805" customWidth="1"/>
    <col min="12558" max="12559" width="0.75" style="805" customWidth="1"/>
    <col min="12560" max="12560" width="5.625" style="805" customWidth="1"/>
    <col min="12561" max="12561" width="17.875" style="805" customWidth="1"/>
    <col min="12562" max="12562" width="4.875" style="805" customWidth="1"/>
    <col min="12563" max="12563" width="7.125" style="805" customWidth="1"/>
    <col min="12564" max="12565" width="6.375" style="805" customWidth="1"/>
    <col min="12566" max="12566" width="9" style="805"/>
    <col min="12567" max="12567" width="6.25" style="805" customWidth="1"/>
    <col min="12568" max="12568" width="4.625" style="805" customWidth="1"/>
    <col min="12569" max="12569" width="6" style="805" customWidth="1"/>
    <col min="12570" max="12570" width="5.75" style="805" customWidth="1"/>
    <col min="12571" max="12571" width="0.875" style="805" customWidth="1"/>
    <col min="12572" max="12572" width="4.5" style="805" customWidth="1"/>
    <col min="12573" max="12573" width="5.625" style="805" customWidth="1"/>
    <col min="12574" max="12574" width="11.5" style="805" customWidth="1"/>
    <col min="12575" max="12579" width="9" style="805"/>
    <col min="12580" max="12580" width="13.875" style="805" customWidth="1"/>
    <col min="12581" max="12581" width="4.5" style="805" customWidth="1"/>
    <col min="12582" max="12800" width="9" style="805"/>
    <col min="12801" max="12801" width="1" style="805" customWidth="1"/>
    <col min="12802" max="12802" width="15.625" style="805" customWidth="1"/>
    <col min="12803" max="12803" width="4.125" style="805" customWidth="1"/>
    <col min="12804" max="12804" width="9" style="805"/>
    <col min="12805" max="12805" width="1.875" style="805" customWidth="1"/>
    <col min="12806" max="12806" width="9" style="805"/>
    <col min="12807" max="12807" width="1.375" style="805" customWidth="1"/>
    <col min="12808" max="12808" width="0.75" style="805" customWidth="1"/>
    <col min="12809" max="12809" width="20" style="805" customWidth="1"/>
    <col min="12810" max="12810" width="9" style="805"/>
    <col min="12811" max="12811" width="1.25" style="805" customWidth="1"/>
    <col min="12812" max="12812" width="9" style="805"/>
    <col min="12813" max="12813" width="1.5" style="805" customWidth="1"/>
    <col min="12814" max="12815" width="0.75" style="805" customWidth="1"/>
    <col min="12816" max="12816" width="5.625" style="805" customWidth="1"/>
    <col min="12817" max="12817" width="17.875" style="805" customWidth="1"/>
    <col min="12818" max="12818" width="4.875" style="805" customWidth="1"/>
    <col min="12819" max="12819" width="7.125" style="805" customWidth="1"/>
    <col min="12820" max="12821" width="6.375" style="805" customWidth="1"/>
    <col min="12822" max="12822" width="9" style="805"/>
    <col min="12823" max="12823" width="6.25" style="805" customWidth="1"/>
    <col min="12824" max="12824" width="4.625" style="805" customWidth="1"/>
    <col min="12825" max="12825" width="6" style="805" customWidth="1"/>
    <col min="12826" max="12826" width="5.75" style="805" customWidth="1"/>
    <col min="12827" max="12827" width="0.875" style="805" customWidth="1"/>
    <col min="12828" max="12828" width="4.5" style="805" customWidth="1"/>
    <col min="12829" max="12829" width="5.625" style="805" customWidth="1"/>
    <col min="12830" max="12830" width="11.5" style="805" customWidth="1"/>
    <col min="12831" max="12835" width="9" style="805"/>
    <col min="12836" max="12836" width="13.875" style="805" customWidth="1"/>
    <col min="12837" max="12837" width="4.5" style="805" customWidth="1"/>
    <col min="12838" max="13056" width="9" style="805"/>
    <col min="13057" max="13057" width="1" style="805" customWidth="1"/>
    <col min="13058" max="13058" width="15.625" style="805" customWidth="1"/>
    <col min="13059" max="13059" width="4.125" style="805" customWidth="1"/>
    <col min="13060" max="13060" width="9" style="805"/>
    <col min="13061" max="13061" width="1.875" style="805" customWidth="1"/>
    <col min="13062" max="13062" width="9" style="805"/>
    <col min="13063" max="13063" width="1.375" style="805" customWidth="1"/>
    <col min="13064" max="13064" width="0.75" style="805" customWidth="1"/>
    <col min="13065" max="13065" width="20" style="805" customWidth="1"/>
    <col min="13066" max="13066" width="9" style="805"/>
    <col min="13067" max="13067" width="1.25" style="805" customWidth="1"/>
    <col min="13068" max="13068" width="9" style="805"/>
    <col min="13069" max="13069" width="1.5" style="805" customWidth="1"/>
    <col min="13070" max="13071" width="0.75" style="805" customWidth="1"/>
    <col min="13072" max="13072" width="5.625" style="805" customWidth="1"/>
    <col min="13073" max="13073" width="17.875" style="805" customWidth="1"/>
    <col min="13074" max="13074" width="4.875" style="805" customWidth="1"/>
    <col min="13075" max="13075" width="7.125" style="805" customWidth="1"/>
    <col min="13076" max="13077" width="6.375" style="805" customWidth="1"/>
    <col min="13078" max="13078" width="9" style="805"/>
    <col min="13079" max="13079" width="6.25" style="805" customWidth="1"/>
    <col min="13080" max="13080" width="4.625" style="805" customWidth="1"/>
    <col min="13081" max="13081" width="6" style="805" customWidth="1"/>
    <col min="13082" max="13082" width="5.75" style="805" customWidth="1"/>
    <col min="13083" max="13083" width="0.875" style="805" customWidth="1"/>
    <col min="13084" max="13084" width="4.5" style="805" customWidth="1"/>
    <col min="13085" max="13085" width="5.625" style="805" customWidth="1"/>
    <col min="13086" max="13086" width="11.5" style="805" customWidth="1"/>
    <col min="13087" max="13091" width="9" style="805"/>
    <col min="13092" max="13092" width="13.875" style="805" customWidth="1"/>
    <col min="13093" max="13093" width="4.5" style="805" customWidth="1"/>
    <col min="13094" max="13312" width="9" style="805"/>
    <col min="13313" max="13313" width="1" style="805" customWidth="1"/>
    <col min="13314" max="13314" width="15.625" style="805" customWidth="1"/>
    <col min="13315" max="13315" width="4.125" style="805" customWidth="1"/>
    <col min="13316" max="13316" width="9" style="805"/>
    <col min="13317" max="13317" width="1.875" style="805" customWidth="1"/>
    <col min="13318" max="13318" width="9" style="805"/>
    <col min="13319" max="13319" width="1.375" style="805" customWidth="1"/>
    <col min="13320" max="13320" width="0.75" style="805" customWidth="1"/>
    <col min="13321" max="13321" width="20" style="805" customWidth="1"/>
    <col min="13322" max="13322" width="9" style="805"/>
    <col min="13323" max="13323" width="1.25" style="805" customWidth="1"/>
    <col min="13324" max="13324" width="9" style="805"/>
    <col min="13325" max="13325" width="1.5" style="805" customWidth="1"/>
    <col min="13326" max="13327" width="0.75" style="805" customWidth="1"/>
    <col min="13328" max="13328" width="5.625" style="805" customWidth="1"/>
    <col min="13329" max="13329" width="17.875" style="805" customWidth="1"/>
    <col min="13330" max="13330" width="4.875" style="805" customWidth="1"/>
    <col min="13331" max="13331" width="7.125" style="805" customWidth="1"/>
    <col min="13332" max="13333" width="6.375" style="805" customWidth="1"/>
    <col min="13334" max="13334" width="9" style="805"/>
    <col min="13335" max="13335" width="6.25" style="805" customWidth="1"/>
    <col min="13336" max="13336" width="4.625" style="805" customWidth="1"/>
    <col min="13337" max="13337" width="6" style="805" customWidth="1"/>
    <col min="13338" max="13338" width="5.75" style="805" customWidth="1"/>
    <col min="13339" max="13339" width="0.875" style="805" customWidth="1"/>
    <col min="13340" max="13340" width="4.5" style="805" customWidth="1"/>
    <col min="13341" max="13341" width="5.625" style="805" customWidth="1"/>
    <col min="13342" max="13342" width="11.5" style="805" customWidth="1"/>
    <col min="13343" max="13347" width="9" style="805"/>
    <col min="13348" max="13348" width="13.875" style="805" customWidth="1"/>
    <col min="13349" max="13349" width="4.5" style="805" customWidth="1"/>
    <col min="13350" max="13568" width="9" style="805"/>
    <col min="13569" max="13569" width="1" style="805" customWidth="1"/>
    <col min="13570" max="13570" width="15.625" style="805" customWidth="1"/>
    <col min="13571" max="13571" width="4.125" style="805" customWidth="1"/>
    <col min="13572" max="13572" width="9" style="805"/>
    <col min="13573" max="13573" width="1.875" style="805" customWidth="1"/>
    <col min="13574" max="13574" width="9" style="805"/>
    <col min="13575" max="13575" width="1.375" style="805" customWidth="1"/>
    <col min="13576" max="13576" width="0.75" style="805" customWidth="1"/>
    <col min="13577" max="13577" width="20" style="805" customWidth="1"/>
    <col min="13578" max="13578" width="9" style="805"/>
    <col min="13579" max="13579" width="1.25" style="805" customWidth="1"/>
    <col min="13580" max="13580" width="9" style="805"/>
    <col min="13581" max="13581" width="1.5" style="805" customWidth="1"/>
    <col min="13582" max="13583" width="0.75" style="805" customWidth="1"/>
    <col min="13584" max="13584" width="5.625" style="805" customWidth="1"/>
    <col min="13585" max="13585" width="17.875" style="805" customWidth="1"/>
    <col min="13586" max="13586" width="4.875" style="805" customWidth="1"/>
    <col min="13587" max="13587" width="7.125" style="805" customWidth="1"/>
    <col min="13588" max="13589" width="6.375" style="805" customWidth="1"/>
    <col min="13590" max="13590" width="9" style="805"/>
    <col min="13591" max="13591" width="6.25" style="805" customWidth="1"/>
    <col min="13592" max="13592" width="4.625" style="805" customWidth="1"/>
    <col min="13593" max="13593" width="6" style="805" customWidth="1"/>
    <col min="13594" max="13594" width="5.75" style="805" customWidth="1"/>
    <col min="13595" max="13595" width="0.875" style="805" customWidth="1"/>
    <col min="13596" max="13596" width="4.5" style="805" customWidth="1"/>
    <col min="13597" max="13597" width="5.625" style="805" customWidth="1"/>
    <col min="13598" max="13598" width="11.5" style="805" customWidth="1"/>
    <col min="13599" max="13603" width="9" style="805"/>
    <col min="13604" max="13604" width="13.875" style="805" customWidth="1"/>
    <col min="13605" max="13605" width="4.5" style="805" customWidth="1"/>
    <col min="13606" max="13824" width="9" style="805"/>
    <col min="13825" max="13825" width="1" style="805" customWidth="1"/>
    <col min="13826" max="13826" width="15.625" style="805" customWidth="1"/>
    <col min="13827" max="13827" width="4.125" style="805" customWidth="1"/>
    <col min="13828" max="13828" width="9" style="805"/>
    <col min="13829" max="13829" width="1.875" style="805" customWidth="1"/>
    <col min="13830" max="13830" width="9" style="805"/>
    <col min="13831" max="13831" width="1.375" style="805" customWidth="1"/>
    <col min="13832" max="13832" width="0.75" style="805" customWidth="1"/>
    <col min="13833" max="13833" width="20" style="805" customWidth="1"/>
    <col min="13834" max="13834" width="9" style="805"/>
    <col min="13835" max="13835" width="1.25" style="805" customWidth="1"/>
    <col min="13836" max="13836" width="9" style="805"/>
    <col min="13837" max="13837" width="1.5" style="805" customWidth="1"/>
    <col min="13838" max="13839" width="0.75" style="805" customWidth="1"/>
    <col min="13840" max="13840" width="5.625" style="805" customWidth="1"/>
    <col min="13841" max="13841" width="17.875" style="805" customWidth="1"/>
    <col min="13842" max="13842" width="4.875" style="805" customWidth="1"/>
    <col min="13843" max="13843" width="7.125" style="805" customWidth="1"/>
    <col min="13844" max="13845" width="6.375" style="805" customWidth="1"/>
    <col min="13846" max="13846" width="9" style="805"/>
    <col min="13847" max="13847" width="6.25" style="805" customWidth="1"/>
    <col min="13848" max="13848" width="4.625" style="805" customWidth="1"/>
    <col min="13849" max="13849" width="6" style="805" customWidth="1"/>
    <col min="13850" max="13850" width="5.75" style="805" customWidth="1"/>
    <col min="13851" max="13851" width="0.875" style="805" customWidth="1"/>
    <col min="13852" max="13852" width="4.5" style="805" customWidth="1"/>
    <col min="13853" max="13853" width="5.625" style="805" customWidth="1"/>
    <col min="13854" max="13854" width="11.5" style="805" customWidth="1"/>
    <col min="13855" max="13859" width="9" style="805"/>
    <col min="13860" max="13860" width="13.875" style="805" customWidth="1"/>
    <col min="13861" max="13861" width="4.5" style="805" customWidth="1"/>
    <col min="13862" max="14080" width="9" style="805"/>
    <col min="14081" max="14081" width="1" style="805" customWidth="1"/>
    <col min="14082" max="14082" width="15.625" style="805" customWidth="1"/>
    <col min="14083" max="14083" width="4.125" style="805" customWidth="1"/>
    <col min="14084" max="14084" width="9" style="805"/>
    <col min="14085" max="14085" width="1.875" style="805" customWidth="1"/>
    <col min="14086" max="14086" width="9" style="805"/>
    <col min="14087" max="14087" width="1.375" style="805" customWidth="1"/>
    <col min="14088" max="14088" width="0.75" style="805" customWidth="1"/>
    <col min="14089" max="14089" width="20" style="805" customWidth="1"/>
    <col min="14090" max="14090" width="9" style="805"/>
    <col min="14091" max="14091" width="1.25" style="805" customWidth="1"/>
    <col min="14092" max="14092" width="9" style="805"/>
    <col min="14093" max="14093" width="1.5" style="805" customWidth="1"/>
    <col min="14094" max="14095" width="0.75" style="805" customWidth="1"/>
    <col min="14096" max="14096" width="5.625" style="805" customWidth="1"/>
    <col min="14097" max="14097" width="17.875" style="805" customWidth="1"/>
    <col min="14098" max="14098" width="4.875" style="805" customWidth="1"/>
    <col min="14099" max="14099" width="7.125" style="805" customWidth="1"/>
    <col min="14100" max="14101" width="6.375" style="805" customWidth="1"/>
    <col min="14102" max="14102" width="9" style="805"/>
    <col min="14103" max="14103" width="6.25" style="805" customWidth="1"/>
    <col min="14104" max="14104" width="4.625" style="805" customWidth="1"/>
    <col min="14105" max="14105" width="6" style="805" customWidth="1"/>
    <col min="14106" max="14106" width="5.75" style="805" customWidth="1"/>
    <col min="14107" max="14107" width="0.875" style="805" customWidth="1"/>
    <col min="14108" max="14108" width="4.5" style="805" customWidth="1"/>
    <col min="14109" max="14109" width="5.625" style="805" customWidth="1"/>
    <col min="14110" max="14110" width="11.5" style="805" customWidth="1"/>
    <col min="14111" max="14115" width="9" style="805"/>
    <col min="14116" max="14116" width="13.875" style="805" customWidth="1"/>
    <col min="14117" max="14117" width="4.5" style="805" customWidth="1"/>
    <col min="14118" max="14336" width="9" style="805"/>
    <col min="14337" max="14337" width="1" style="805" customWidth="1"/>
    <col min="14338" max="14338" width="15.625" style="805" customWidth="1"/>
    <col min="14339" max="14339" width="4.125" style="805" customWidth="1"/>
    <col min="14340" max="14340" width="9" style="805"/>
    <col min="14341" max="14341" width="1.875" style="805" customWidth="1"/>
    <col min="14342" max="14342" width="9" style="805"/>
    <col min="14343" max="14343" width="1.375" style="805" customWidth="1"/>
    <col min="14344" max="14344" width="0.75" style="805" customWidth="1"/>
    <col min="14345" max="14345" width="20" style="805" customWidth="1"/>
    <col min="14346" max="14346" width="9" style="805"/>
    <col min="14347" max="14347" width="1.25" style="805" customWidth="1"/>
    <col min="14348" max="14348" width="9" style="805"/>
    <col min="14349" max="14349" width="1.5" style="805" customWidth="1"/>
    <col min="14350" max="14351" width="0.75" style="805" customWidth="1"/>
    <col min="14352" max="14352" width="5.625" style="805" customWidth="1"/>
    <col min="14353" max="14353" width="17.875" style="805" customWidth="1"/>
    <col min="14354" max="14354" width="4.875" style="805" customWidth="1"/>
    <col min="14355" max="14355" width="7.125" style="805" customWidth="1"/>
    <col min="14356" max="14357" width="6.375" style="805" customWidth="1"/>
    <col min="14358" max="14358" width="9" style="805"/>
    <col min="14359" max="14359" width="6.25" style="805" customWidth="1"/>
    <col min="14360" max="14360" width="4.625" style="805" customWidth="1"/>
    <col min="14361" max="14361" width="6" style="805" customWidth="1"/>
    <col min="14362" max="14362" width="5.75" style="805" customWidth="1"/>
    <col min="14363" max="14363" width="0.875" style="805" customWidth="1"/>
    <col min="14364" max="14364" width="4.5" style="805" customWidth="1"/>
    <col min="14365" max="14365" width="5.625" style="805" customWidth="1"/>
    <col min="14366" max="14366" width="11.5" style="805" customWidth="1"/>
    <col min="14367" max="14371" width="9" style="805"/>
    <col min="14372" max="14372" width="13.875" style="805" customWidth="1"/>
    <col min="14373" max="14373" width="4.5" style="805" customWidth="1"/>
    <col min="14374" max="14592" width="9" style="805"/>
    <col min="14593" max="14593" width="1" style="805" customWidth="1"/>
    <col min="14594" max="14594" width="15.625" style="805" customWidth="1"/>
    <col min="14595" max="14595" width="4.125" style="805" customWidth="1"/>
    <col min="14596" max="14596" width="9" style="805"/>
    <col min="14597" max="14597" width="1.875" style="805" customWidth="1"/>
    <col min="14598" max="14598" width="9" style="805"/>
    <col min="14599" max="14599" width="1.375" style="805" customWidth="1"/>
    <col min="14600" max="14600" width="0.75" style="805" customWidth="1"/>
    <col min="14601" max="14601" width="20" style="805" customWidth="1"/>
    <col min="14602" max="14602" width="9" style="805"/>
    <col min="14603" max="14603" width="1.25" style="805" customWidth="1"/>
    <col min="14604" max="14604" width="9" style="805"/>
    <col min="14605" max="14605" width="1.5" style="805" customWidth="1"/>
    <col min="14606" max="14607" width="0.75" style="805" customWidth="1"/>
    <col min="14608" max="14608" width="5.625" style="805" customWidth="1"/>
    <col min="14609" max="14609" width="17.875" style="805" customWidth="1"/>
    <col min="14610" max="14610" width="4.875" style="805" customWidth="1"/>
    <col min="14611" max="14611" width="7.125" style="805" customWidth="1"/>
    <col min="14612" max="14613" width="6.375" style="805" customWidth="1"/>
    <col min="14614" max="14614" width="9" style="805"/>
    <col min="14615" max="14615" width="6.25" style="805" customWidth="1"/>
    <col min="14616" max="14616" width="4.625" style="805" customWidth="1"/>
    <col min="14617" max="14617" width="6" style="805" customWidth="1"/>
    <col min="14618" max="14618" width="5.75" style="805" customWidth="1"/>
    <col min="14619" max="14619" width="0.875" style="805" customWidth="1"/>
    <col min="14620" max="14620" width="4.5" style="805" customWidth="1"/>
    <col min="14621" max="14621" width="5.625" style="805" customWidth="1"/>
    <col min="14622" max="14622" width="11.5" style="805" customWidth="1"/>
    <col min="14623" max="14627" width="9" style="805"/>
    <col min="14628" max="14628" width="13.875" style="805" customWidth="1"/>
    <col min="14629" max="14629" width="4.5" style="805" customWidth="1"/>
    <col min="14630" max="14848" width="9" style="805"/>
    <col min="14849" max="14849" width="1" style="805" customWidth="1"/>
    <col min="14850" max="14850" width="15.625" style="805" customWidth="1"/>
    <col min="14851" max="14851" width="4.125" style="805" customWidth="1"/>
    <col min="14852" max="14852" width="9" style="805"/>
    <col min="14853" max="14853" width="1.875" style="805" customWidth="1"/>
    <col min="14854" max="14854" width="9" style="805"/>
    <col min="14855" max="14855" width="1.375" style="805" customWidth="1"/>
    <col min="14856" max="14856" width="0.75" style="805" customWidth="1"/>
    <col min="14857" max="14857" width="20" style="805" customWidth="1"/>
    <col min="14858" max="14858" width="9" style="805"/>
    <col min="14859" max="14859" width="1.25" style="805" customWidth="1"/>
    <col min="14860" max="14860" width="9" style="805"/>
    <col min="14861" max="14861" width="1.5" style="805" customWidth="1"/>
    <col min="14862" max="14863" width="0.75" style="805" customWidth="1"/>
    <col min="14864" max="14864" width="5.625" style="805" customWidth="1"/>
    <col min="14865" max="14865" width="17.875" style="805" customWidth="1"/>
    <col min="14866" max="14866" width="4.875" style="805" customWidth="1"/>
    <col min="14867" max="14867" width="7.125" style="805" customWidth="1"/>
    <col min="14868" max="14869" width="6.375" style="805" customWidth="1"/>
    <col min="14870" max="14870" width="9" style="805"/>
    <col min="14871" max="14871" width="6.25" style="805" customWidth="1"/>
    <col min="14872" max="14872" width="4.625" style="805" customWidth="1"/>
    <col min="14873" max="14873" width="6" style="805" customWidth="1"/>
    <col min="14874" max="14874" width="5.75" style="805" customWidth="1"/>
    <col min="14875" max="14875" width="0.875" style="805" customWidth="1"/>
    <col min="14876" max="14876" width="4.5" style="805" customWidth="1"/>
    <col min="14877" max="14877" width="5.625" style="805" customWidth="1"/>
    <col min="14878" max="14878" width="11.5" style="805" customWidth="1"/>
    <col min="14879" max="14883" width="9" style="805"/>
    <col min="14884" max="14884" width="13.875" style="805" customWidth="1"/>
    <col min="14885" max="14885" width="4.5" style="805" customWidth="1"/>
    <col min="14886" max="15104" width="9" style="805"/>
    <col min="15105" max="15105" width="1" style="805" customWidth="1"/>
    <col min="15106" max="15106" width="15.625" style="805" customWidth="1"/>
    <col min="15107" max="15107" width="4.125" style="805" customWidth="1"/>
    <col min="15108" max="15108" width="9" style="805"/>
    <col min="15109" max="15109" width="1.875" style="805" customWidth="1"/>
    <col min="15110" max="15110" width="9" style="805"/>
    <col min="15111" max="15111" width="1.375" style="805" customWidth="1"/>
    <col min="15112" max="15112" width="0.75" style="805" customWidth="1"/>
    <col min="15113" max="15113" width="20" style="805" customWidth="1"/>
    <col min="15114" max="15114" width="9" style="805"/>
    <col min="15115" max="15115" width="1.25" style="805" customWidth="1"/>
    <col min="15116" max="15116" width="9" style="805"/>
    <col min="15117" max="15117" width="1.5" style="805" customWidth="1"/>
    <col min="15118" max="15119" width="0.75" style="805" customWidth="1"/>
    <col min="15120" max="15120" width="5.625" style="805" customWidth="1"/>
    <col min="15121" max="15121" width="17.875" style="805" customWidth="1"/>
    <col min="15122" max="15122" width="4.875" style="805" customWidth="1"/>
    <col min="15123" max="15123" width="7.125" style="805" customWidth="1"/>
    <col min="15124" max="15125" width="6.375" style="805" customWidth="1"/>
    <col min="15126" max="15126" width="9" style="805"/>
    <col min="15127" max="15127" width="6.25" style="805" customWidth="1"/>
    <col min="15128" max="15128" width="4.625" style="805" customWidth="1"/>
    <col min="15129" max="15129" width="6" style="805" customWidth="1"/>
    <col min="15130" max="15130" width="5.75" style="805" customWidth="1"/>
    <col min="15131" max="15131" width="0.875" style="805" customWidth="1"/>
    <col min="15132" max="15132" width="4.5" style="805" customWidth="1"/>
    <col min="15133" max="15133" width="5.625" style="805" customWidth="1"/>
    <col min="15134" max="15134" width="11.5" style="805" customWidth="1"/>
    <col min="15135" max="15139" width="9" style="805"/>
    <col min="15140" max="15140" width="13.875" style="805" customWidth="1"/>
    <col min="15141" max="15141" width="4.5" style="805" customWidth="1"/>
    <col min="15142" max="15360" width="9" style="805"/>
    <col min="15361" max="15361" width="1" style="805" customWidth="1"/>
    <col min="15362" max="15362" width="15.625" style="805" customWidth="1"/>
    <col min="15363" max="15363" width="4.125" style="805" customWidth="1"/>
    <col min="15364" max="15364" width="9" style="805"/>
    <col min="15365" max="15365" width="1.875" style="805" customWidth="1"/>
    <col min="15366" max="15366" width="9" style="805"/>
    <col min="15367" max="15367" width="1.375" style="805" customWidth="1"/>
    <col min="15368" max="15368" width="0.75" style="805" customWidth="1"/>
    <col min="15369" max="15369" width="20" style="805" customWidth="1"/>
    <col min="15370" max="15370" width="9" style="805"/>
    <col min="15371" max="15371" width="1.25" style="805" customWidth="1"/>
    <col min="15372" max="15372" width="9" style="805"/>
    <col min="15373" max="15373" width="1.5" style="805" customWidth="1"/>
    <col min="15374" max="15375" width="0.75" style="805" customWidth="1"/>
    <col min="15376" max="15376" width="5.625" style="805" customWidth="1"/>
    <col min="15377" max="15377" width="17.875" style="805" customWidth="1"/>
    <col min="15378" max="15378" width="4.875" style="805" customWidth="1"/>
    <col min="15379" max="15379" width="7.125" style="805" customWidth="1"/>
    <col min="15380" max="15381" width="6.375" style="805" customWidth="1"/>
    <col min="15382" max="15382" width="9" style="805"/>
    <col min="15383" max="15383" width="6.25" style="805" customWidth="1"/>
    <col min="15384" max="15384" width="4.625" style="805" customWidth="1"/>
    <col min="15385" max="15385" width="6" style="805" customWidth="1"/>
    <col min="15386" max="15386" width="5.75" style="805" customWidth="1"/>
    <col min="15387" max="15387" width="0.875" style="805" customWidth="1"/>
    <col min="15388" max="15388" width="4.5" style="805" customWidth="1"/>
    <col min="15389" max="15389" width="5.625" style="805" customWidth="1"/>
    <col min="15390" max="15390" width="11.5" style="805" customWidth="1"/>
    <col min="15391" max="15395" width="9" style="805"/>
    <col min="15396" max="15396" width="13.875" style="805" customWidth="1"/>
    <col min="15397" max="15397" width="4.5" style="805" customWidth="1"/>
    <col min="15398" max="15616" width="9" style="805"/>
    <col min="15617" max="15617" width="1" style="805" customWidth="1"/>
    <col min="15618" max="15618" width="15.625" style="805" customWidth="1"/>
    <col min="15619" max="15619" width="4.125" style="805" customWidth="1"/>
    <col min="15620" max="15620" width="9" style="805"/>
    <col min="15621" max="15621" width="1.875" style="805" customWidth="1"/>
    <col min="15622" max="15622" width="9" style="805"/>
    <col min="15623" max="15623" width="1.375" style="805" customWidth="1"/>
    <col min="15624" max="15624" width="0.75" style="805" customWidth="1"/>
    <col min="15625" max="15625" width="20" style="805" customWidth="1"/>
    <col min="15626" max="15626" width="9" style="805"/>
    <col min="15627" max="15627" width="1.25" style="805" customWidth="1"/>
    <col min="15628" max="15628" width="9" style="805"/>
    <col min="15629" max="15629" width="1.5" style="805" customWidth="1"/>
    <col min="15630" max="15631" width="0.75" style="805" customWidth="1"/>
    <col min="15632" max="15632" width="5.625" style="805" customWidth="1"/>
    <col min="15633" max="15633" width="17.875" style="805" customWidth="1"/>
    <col min="15634" max="15634" width="4.875" style="805" customWidth="1"/>
    <col min="15635" max="15635" width="7.125" style="805" customWidth="1"/>
    <col min="15636" max="15637" width="6.375" style="805" customWidth="1"/>
    <col min="15638" max="15638" width="9" style="805"/>
    <col min="15639" max="15639" width="6.25" style="805" customWidth="1"/>
    <col min="15640" max="15640" width="4.625" style="805" customWidth="1"/>
    <col min="15641" max="15641" width="6" style="805" customWidth="1"/>
    <col min="15642" max="15642" width="5.75" style="805" customWidth="1"/>
    <col min="15643" max="15643" width="0.875" style="805" customWidth="1"/>
    <col min="15644" max="15644" width="4.5" style="805" customWidth="1"/>
    <col min="15645" max="15645" width="5.625" style="805" customWidth="1"/>
    <col min="15646" max="15646" width="11.5" style="805" customWidth="1"/>
    <col min="15647" max="15651" width="9" style="805"/>
    <col min="15652" max="15652" width="13.875" style="805" customWidth="1"/>
    <col min="15653" max="15653" width="4.5" style="805" customWidth="1"/>
    <col min="15654" max="15872" width="9" style="805"/>
    <col min="15873" max="15873" width="1" style="805" customWidth="1"/>
    <col min="15874" max="15874" width="15.625" style="805" customWidth="1"/>
    <col min="15875" max="15875" width="4.125" style="805" customWidth="1"/>
    <col min="15876" max="15876" width="9" style="805"/>
    <col min="15877" max="15877" width="1.875" style="805" customWidth="1"/>
    <col min="15878" max="15878" width="9" style="805"/>
    <col min="15879" max="15879" width="1.375" style="805" customWidth="1"/>
    <col min="15880" max="15880" width="0.75" style="805" customWidth="1"/>
    <col min="15881" max="15881" width="20" style="805" customWidth="1"/>
    <col min="15882" max="15882" width="9" style="805"/>
    <col min="15883" max="15883" width="1.25" style="805" customWidth="1"/>
    <col min="15884" max="15884" width="9" style="805"/>
    <col min="15885" max="15885" width="1.5" style="805" customWidth="1"/>
    <col min="15886" max="15887" width="0.75" style="805" customWidth="1"/>
    <col min="15888" max="15888" width="5.625" style="805" customWidth="1"/>
    <col min="15889" max="15889" width="17.875" style="805" customWidth="1"/>
    <col min="15890" max="15890" width="4.875" style="805" customWidth="1"/>
    <col min="15891" max="15891" width="7.125" style="805" customWidth="1"/>
    <col min="15892" max="15893" width="6.375" style="805" customWidth="1"/>
    <col min="15894" max="15894" width="9" style="805"/>
    <col min="15895" max="15895" width="6.25" style="805" customWidth="1"/>
    <col min="15896" max="15896" width="4.625" style="805" customWidth="1"/>
    <col min="15897" max="15897" width="6" style="805" customWidth="1"/>
    <col min="15898" max="15898" width="5.75" style="805" customWidth="1"/>
    <col min="15899" max="15899" width="0.875" style="805" customWidth="1"/>
    <col min="15900" max="15900" width="4.5" style="805" customWidth="1"/>
    <col min="15901" max="15901" width="5.625" style="805" customWidth="1"/>
    <col min="15902" max="15902" width="11.5" style="805" customWidth="1"/>
    <col min="15903" max="15907" width="9" style="805"/>
    <col min="15908" max="15908" width="13.875" style="805" customWidth="1"/>
    <col min="15909" max="15909" width="4.5" style="805" customWidth="1"/>
    <col min="15910" max="16128" width="9" style="805"/>
    <col min="16129" max="16129" width="1" style="805" customWidth="1"/>
    <col min="16130" max="16130" width="15.625" style="805" customWidth="1"/>
    <col min="16131" max="16131" width="4.125" style="805" customWidth="1"/>
    <col min="16132" max="16132" width="9" style="805"/>
    <col min="16133" max="16133" width="1.875" style="805" customWidth="1"/>
    <col min="16134" max="16134" width="9" style="805"/>
    <col min="16135" max="16135" width="1.375" style="805" customWidth="1"/>
    <col min="16136" max="16136" width="0.75" style="805" customWidth="1"/>
    <col min="16137" max="16137" width="20" style="805" customWidth="1"/>
    <col min="16138" max="16138" width="9" style="805"/>
    <col min="16139" max="16139" width="1.25" style="805" customWidth="1"/>
    <col min="16140" max="16140" width="9" style="805"/>
    <col min="16141" max="16141" width="1.5" style="805" customWidth="1"/>
    <col min="16142" max="16143" width="0.75" style="805" customWidth="1"/>
    <col min="16144" max="16144" width="5.625" style="805" customWidth="1"/>
    <col min="16145" max="16145" width="17.875" style="805" customWidth="1"/>
    <col min="16146" max="16146" width="4.875" style="805" customWidth="1"/>
    <col min="16147" max="16147" width="7.125" style="805" customWidth="1"/>
    <col min="16148" max="16149" width="6.375" style="805" customWidth="1"/>
    <col min="16150" max="16150" width="9" style="805"/>
    <col min="16151" max="16151" width="6.25" style="805" customWidth="1"/>
    <col min="16152" max="16152" width="4.625" style="805" customWidth="1"/>
    <col min="16153" max="16153" width="6" style="805" customWidth="1"/>
    <col min="16154" max="16154" width="5.75" style="805" customWidth="1"/>
    <col min="16155" max="16155" width="0.875" style="805" customWidth="1"/>
    <col min="16156" max="16156" width="4.5" style="805" customWidth="1"/>
    <col min="16157" max="16157" width="5.625" style="805" customWidth="1"/>
    <col min="16158" max="16158" width="11.5" style="805" customWidth="1"/>
    <col min="16159" max="16163" width="9" style="805"/>
    <col min="16164" max="16164" width="13.875" style="805" customWidth="1"/>
    <col min="16165" max="16165" width="4.5" style="805" customWidth="1"/>
    <col min="16166" max="16384" width="9" style="805"/>
  </cols>
  <sheetData>
    <row r="2" spans="2:46" ht="25.5" x14ac:dyDescent="0.5">
      <c r="B2" s="803" t="s">
        <v>2648</v>
      </c>
      <c r="C2" s="803"/>
      <c r="D2" s="804"/>
      <c r="E2" s="804"/>
      <c r="F2" s="804"/>
      <c r="G2" s="804"/>
      <c r="H2" s="804"/>
      <c r="I2" s="804"/>
      <c r="J2" s="804"/>
      <c r="K2" s="804"/>
      <c r="L2" s="804"/>
      <c r="P2" s="806"/>
      <c r="Q2" s="806"/>
      <c r="R2" s="806"/>
      <c r="S2" s="806"/>
      <c r="T2" s="807" t="s">
        <v>2649</v>
      </c>
      <c r="U2" s="806"/>
      <c r="V2" s="806"/>
      <c r="W2" s="806"/>
      <c r="X2" s="806"/>
      <c r="Y2" s="806"/>
      <c r="Z2" s="806"/>
      <c r="AB2" s="808"/>
      <c r="AC2" s="808"/>
      <c r="AD2" s="809" t="s">
        <v>2650</v>
      </c>
      <c r="AE2" s="808"/>
      <c r="AF2" s="808"/>
      <c r="AG2" s="808"/>
      <c r="AH2" s="808"/>
      <c r="AI2" s="808"/>
      <c r="AJ2" s="808"/>
      <c r="AK2" s="808"/>
      <c r="AM2" s="808"/>
      <c r="AN2" s="808" t="s">
        <v>2651</v>
      </c>
      <c r="AO2" s="808"/>
      <c r="AP2" s="808"/>
      <c r="AQ2" s="808"/>
      <c r="AR2" s="808"/>
      <c r="AS2" s="808"/>
      <c r="AT2" s="808"/>
    </row>
    <row r="3" spans="2:46" ht="15.75" x14ac:dyDescent="0.2">
      <c r="B3" s="810" t="s">
        <v>107</v>
      </c>
      <c r="C3" s="810"/>
      <c r="AC3" s="811"/>
      <c r="AD3" s="811"/>
    </row>
    <row r="4" spans="2:46" ht="15.75" x14ac:dyDescent="0.25">
      <c r="B4" s="812" t="s">
        <v>2652</v>
      </c>
      <c r="C4" s="812"/>
      <c r="D4" s="1687" t="s">
        <v>2653</v>
      </c>
      <c r="E4" s="1687"/>
      <c r="F4" s="1687" t="s">
        <v>2654</v>
      </c>
      <c r="G4" s="1687"/>
      <c r="H4" s="814"/>
      <c r="I4" s="812" t="s">
        <v>2652</v>
      </c>
      <c r="J4" s="1687" t="s">
        <v>2653</v>
      </c>
      <c r="K4" s="1687"/>
      <c r="L4" s="1687" t="s">
        <v>2654</v>
      </c>
      <c r="M4" s="1687"/>
      <c r="N4" s="815"/>
      <c r="O4" s="811"/>
      <c r="P4" s="1699" t="s">
        <v>2655</v>
      </c>
      <c r="Q4" s="1700"/>
      <c r="R4" s="1700"/>
      <c r="S4" s="1700"/>
      <c r="T4" s="1700"/>
      <c r="U4" s="1700"/>
      <c r="V4" s="1700"/>
      <c r="W4" s="1700"/>
      <c r="X4" s="1700"/>
      <c r="Y4" s="1700"/>
      <c r="Z4" s="1700"/>
      <c r="AC4" s="816" t="s">
        <v>123</v>
      </c>
      <c r="AD4" s="817" t="s">
        <v>2656</v>
      </c>
      <c r="AE4" s="818"/>
      <c r="AF4" s="818"/>
      <c r="AG4" s="819"/>
      <c r="AH4" s="818"/>
      <c r="AI4" s="818"/>
      <c r="AJ4" s="820" t="s">
        <v>2657</v>
      </c>
      <c r="AM4" s="821" t="s">
        <v>2658</v>
      </c>
    </row>
    <row r="5" spans="2:46" ht="15.75" x14ac:dyDescent="0.25">
      <c r="B5" s="822" t="s">
        <v>2659</v>
      </c>
      <c r="C5" s="822"/>
      <c r="D5" s="1695">
        <v>10</v>
      </c>
      <c r="E5" s="1695"/>
      <c r="F5" s="1695">
        <v>20</v>
      </c>
      <c r="G5" s="1695"/>
      <c r="H5" s="814"/>
      <c r="I5" s="822" t="s">
        <v>2660</v>
      </c>
      <c r="J5" s="1695">
        <v>500</v>
      </c>
      <c r="K5" s="1695"/>
      <c r="L5" s="1695">
        <v>600</v>
      </c>
      <c r="M5" s="1695"/>
      <c r="N5" s="815"/>
      <c r="O5" s="811"/>
      <c r="P5" s="1700"/>
      <c r="Q5" s="1700"/>
      <c r="R5" s="1700"/>
      <c r="S5" s="1700"/>
      <c r="T5" s="1700"/>
      <c r="U5" s="1700"/>
      <c r="V5" s="1700"/>
      <c r="W5" s="1700"/>
      <c r="X5" s="1700"/>
      <c r="Y5" s="1700"/>
      <c r="Z5" s="1700"/>
      <c r="AC5" s="824">
        <v>1</v>
      </c>
      <c r="AD5" s="825" t="s">
        <v>2661</v>
      </c>
      <c r="AE5" s="826"/>
      <c r="AF5" s="826"/>
      <c r="AG5" s="827"/>
      <c r="AH5" s="826"/>
      <c r="AI5" s="826"/>
      <c r="AJ5" s="824">
        <v>100</v>
      </c>
    </row>
    <row r="6" spans="2:46" ht="15.75" x14ac:dyDescent="0.25">
      <c r="B6" s="822" t="s">
        <v>2662</v>
      </c>
      <c r="C6" s="822"/>
      <c r="D6" s="1695">
        <v>10</v>
      </c>
      <c r="E6" s="1695"/>
      <c r="F6" s="1695">
        <v>20</v>
      </c>
      <c r="G6" s="1695"/>
      <c r="H6" s="814"/>
      <c r="I6" s="822" t="s">
        <v>2663</v>
      </c>
      <c r="J6" s="1695">
        <v>50</v>
      </c>
      <c r="K6" s="1695"/>
      <c r="L6" s="1695">
        <v>150</v>
      </c>
      <c r="M6" s="1695"/>
      <c r="N6" s="815"/>
      <c r="O6" s="815"/>
      <c r="P6" s="1700"/>
      <c r="Q6" s="1700"/>
      <c r="R6" s="1700"/>
      <c r="S6" s="1700"/>
      <c r="T6" s="1700"/>
      <c r="U6" s="1700"/>
      <c r="V6" s="1700"/>
      <c r="W6" s="1700"/>
      <c r="X6" s="1700"/>
      <c r="Y6" s="1700"/>
      <c r="Z6" s="1700"/>
      <c r="AC6" s="824">
        <v>1</v>
      </c>
      <c r="AD6" s="825" t="s">
        <v>2664</v>
      </c>
      <c r="AE6" s="826"/>
      <c r="AF6" s="826"/>
      <c r="AG6" s="827"/>
      <c r="AH6" s="826"/>
      <c r="AI6" s="826"/>
      <c r="AJ6" s="824">
        <v>1000</v>
      </c>
      <c r="AM6" s="1697" t="s">
        <v>2665</v>
      </c>
      <c r="AN6" s="1692"/>
      <c r="AO6" s="1692"/>
      <c r="AP6" s="1692"/>
      <c r="AQ6" s="1692"/>
      <c r="AR6" s="1692"/>
      <c r="AS6" s="1692"/>
      <c r="AT6" s="1692"/>
    </row>
    <row r="7" spans="2:46" ht="15.75" x14ac:dyDescent="0.25">
      <c r="B7" s="822" t="s">
        <v>2666</v>
      </c>
      <c r="C7" s="822"/>
      <c r="D7" s="1695">
        <v>10</v>
      </c>
      <c r="E7" s="1695"/>
      <c r="F7" s="1695">
        <v>20</v>
      </c>
      <c r="G7" s="1695"/>
      <c r="H7" s="814"/>
      <c r="I7" s="822" t="s">
        <v>2667</v>
      </c>
      <c r="J7" s="1695">
        <v>200</v>
      </c>
      <c r="K7" s="1695"/>
      <c r="L7" s="1695">
        <v>300</v>
      </c>
      <c r="M7" s="1695"/>
      <c r="N7" s="815"/>
      <c r="O7" s="815"/>
      <c r="P7" s="828"/>
      <c r="Q7" s="828"/>
      <c r="R7" s="828"/>
      <c r="S7" s="828"/>
      <c r="T7" s="828"/>
      <c r="U7" s="828"/>
      <c r="V7" s="828"/>
      <c r="W7" s="828"/>
      <c r="X7" s="828"/>
      <c r="Y7" s="828"/>
      <c r="AC7" s="824">
        <v>1</v>
      </c>
      <c r="AD7" s="829" t="s">
        <v>1192</v>
      </c>
      <c r="AE7" s="826"/>
      <c r="AF7" s="826"/>
      <c r="AG7" s="827"/>
      <c r="AH7" s="826"/>
      <c r="AI7" s="826"/>
      <c r="AJ7" s="830">
        <v>150</v>
      </c>
      <c r="AM7" s="1692"/>
      <c r="AN7" s="1692"/>
      <c r="AO7" s="1692"/>
      <c r="AP7" s="1692"/>
      <c r="AQ7" s="1692"/>
      <c r="AR7" s="1692"/>
      <c r="AS7" s="1692"/>
      <c r="AT7" s="1692"/>
    </row>
    <row r="8" spans="2:46" ht="15.75" x14ac:dyDescent="0.25">
      <c r="B8" s="822" t="s">
        <v>2668</v>
      </c>
      <c r="C8" s="822"/>
      <c r="D8" s="1695">
        <v>10</v>
      </c>
      <c r="E8" s="1695"/>
      <c r="F8" s="1695">
        <v>20</v>
      </c>
      <c r="G8" s="1695"/>
      <c r="H8" s="814"/>
      <c r="I8" s="822" t="s">
        <v>2669</v>
      </c>
      <c r="J8" s="1695">
        <v>50</v>
      </c>
      <c r="K8" s="1695"/>
      <c r="L8" s="1695">
        <v>150</v>
      </c>
      <c r="M8" s="1695"/>
      <c r="N8" s="815"/>
      <c r="O8" s="815"/>
      <c r="P8" s="813" t="s">
        <v>1796</v>
      </c>
      <c r="Q8" s="812" t="s">
        <v>1795</v>
      </c>
      <c r="R8" s="813" t="s">
        <v>2670</v>
      </c>
      <c r="S8" s="813" t="s">
        <v>2671</v>
      </c>
      <c r="T8" s="813" t="s">
        <v>2672</v>
      </c>
      <c r="U8" s="813" t="s">
        <v>2673</v>
      </c>
      <c r="V8" s="813" t="s">
        <v>2674</v>
      </c>
      <c r="W8" s="812" t="s">
        <v>2675</v>
      </c>
      <c r="X8" s="813" t="s">
        <v>2676</v>
      </c>
      <c r="Y8" s="813" t="s">
        <v>2677</v>
      </c>
      <c r="Z8" s="813" t="s">
        <v>2678</v>
      </c>
      <c r="AC8" s="824">
        <v>1</v>
      </c>
      <c r="AD8" s="825" t="s">
        <v>2679</v>
      </c>
      <c r="AE8" s="826"/>
      <c r="AF8" s="826"/>
      <c r="AG8" s="827"/>
      <c r="AH8" s="826"/>
      <c r="AI8" s="826"/>
      <c r="AJ8" s="824" t="s">
        <v>1920</v>
      </c>
      <c r="AM8" s="1692"/>
      <c r="AN8" s="1692"/>
      <c r="AO8" s="1692"/>
      <c r="AP8" s="1692"/>
      <c r="AQ8" s="1692"/>
      <c r="AR8" s="1692"/>
      <c r="AS8" s="1692"/>
      <c r="AT8" s="1692"/>
    </row>
    <row r="9" spans="2:46" ht="15.75" x14ac:dyDescent="0.25">
      <c r="B9" s="822" t="s">
        <v>2680</v>
      </c>
      <c r="C9" s="822"/>
      <c r="D9" s="1695">
        <v>10</v>
      </c>
      <c r="E9" s="1695"/>
      <c r="F9" s="1695">
        <v>20</v>
      </c>
      <c r="G9" s="1695"/>
      <c r="H9" s="814"/>
      <c r="I9" s="822" t="s">
        <v>2681</v>
      </c>
      <c r="J9" s="1695">
        <v>50</v>
      </c>
      <c r="K9" s="1695"/>
      <c r="L9" s="1695">
        <v>250</v>
      </c>
      <c r="M9" s="1695"/>
      <c r="N9" s="815"/>
      <c r="O9" s="815"/>
      <c r="P9" s="823">
        <v>1</v>
      </c>
      <c r="Q9" s="822" t="s">
        <v>2682</v>
      </c>
      <c r="R9" s="823">
        <v>30</v>
      </c>
      <c r="S9" s="823" t="s">
        <v>2683</v>
      </c>
      <c r="T9" s="823" t="s">
        <v>2684</v>
      </c>
      <c r="U9" s="823" t="s">
        <v>2685</v>
      </c>
      <c r="V9" s="823" t="s">
        <v>2686</v>
      </c>
      <c r="W9" s="822" t="s">
        <v>2687</v>
      </c>
      <c r="X9" s="823" t="s">
        <v>2688</v>
      </c>
      <c r="Y9" s="823">
        <v>430</v>
      </c>
      <c r="Z9" s="823">
        <v>910</v>
      </c>
      <c r="AC9" s="831">
        <v>1</v>
      </c>
      <c r="AD9" s="832" t="s">
        <v>2689</v>
      </c>
      <c r="AG9" s="815"/>
      <c r="AJ9" s="833">
        <v>100</v>
      </c>
      <c r="AM9" s="1692"/>
      <c r="AN9" s="1692"/>
      <c r="AO9" s="1692"/>
      <c r="AP9" s="1692"/>
      <c r="AQ9" s="1692"/>
      <c r="AR9" s="1692"/>
      <c r="AS9" s="1692"/>
      <c r="AT9" s="1692"/>
    </row>
    <row r="10" spans="2:46" ht="15.75" x14ac:dyDescent="0.25">
      <c r="B10" s="822" t="s">
        <v>2690</v>
      </c>
      <c r="C10" s="822"/>
      <c r="D10" s="1695">
        <v>80</v>
      </c>
      <c r="E10" s="1695"/>
      <c r="F10" s="1695">
        <v>120</v>
      </c>
      <c r="G10" s="1695"/>
      <c r="H10" s="814"/>
      <c r="I10" s="822" t="s">
        <v>2691</v>
      </c>
      <c r="J10" s="1695">
        <v>50</v>
      </c>
      <c r="K10" s="1695"/>
      <c r="L10" s="1695">
        <v>150</v>
      </c>
      <c r="M10" s="1695"/>
      <c r="N10" s="815"/>
      <c r="O10" s="815"/>
      <c r="P10" s="823">
        <v>1</v>
      </c>
      <c r="Q10" s="822" t="s">
        <v>2692</v>
      </c>
      <c r="R10" s="823">
        <v>20</v>
      </c>
      <c r="S10" s="823" t="s">
        <v>2693</v>
      </c>
      <c r="T10" s="823" t="s">
        <v>2694</v>
      </c>
      <c r="U10" s="823" t="s">
        <v>2685</v>
      </c>
      <c r="V10" s="823" t="s">
        <v>2683</v>
      </c>
      <c r="W10" s="822" t="s">
        <v>2687</v>
      </c>
      <c r="X10" s="823" t="s">
        <v>2688</v>
      </c>
      <c r="Y10" s="823">
        <v>420</v>
      </c>
      <c r="Z10" s="823">
        <v>890</v>
      </c>
      <c r="AC10" s="831">
        <v>1</v>
      </c>
      <c r="AD10" s="834" t="s">
        <v>2695</v>
      </c>
      <c r="AG10" s="815"/>
      <c r="AJ10" s="831">
        <v>100</v>
      </c>
      <c r="AM10" s="1697" t="s">
        <v>2696</v>
      </c>
      <c r="AN10" s="1694"/>
      <c r="AO10" s="1694"/>
      <c r="AP10" s="1694"/>
      <c r="AQ10" s="1694"/>
      <c r="AR10" s="1694"/>
      <c r="AS10" s="1694"/>
      <c r="AT10" s="1694"/>
    </row>
    <row r="11" spans="2:46" ht="15.75" x14ac:dyDescent="0.25">
      <c r="B11" s="822" t="s">
        <v>2697</v>
      </c>
      <c r="C11" s="822"/>
      <c r="D11" s="1695">
        <v>20</v>
      </c>
      <c r="E11" s="1695"/>
      <c r="F11" s="1695">
        <v>50</v>
      </c>
      <c r="G11" s="1695"/>
      <c r="H11" s="814"/>
      <c r="I11" s="822" t="s">
        <v>2698</v>
      </c>
      <c r="J11" s="1695">
        <v>50</v>
      </c>
      <c r="K11" s="1695"/>
      <c r="L11" s="1695">
        <v>150</v>
      </c>
      <c r="M11" s="1695"/>
      <c r="N11" s="815"/>
      <c r="O11" s="815"/>
      <c r="P11" s="823">
        <v>1</v>
      </c>
      <c r="Q11" s="822" t="s">
        <v>2699</v>
      </c>
      <c r="R11" s="823">
        <v>10</v>
      </c>
      <c r="S11" s="823" t="s">
        <v>2700</v>
      </c>
      <c r="T11" s="823" t="s">
        <v>2684</v>
      </c>
      <c r="U11" s="823" t="s">
        <v>2701</v>
      </c>
      <c r="V11" s="823" t="s">
        <v>2702</v>
      </c>
      <c r="W11" s="822" t="s">
        <v>2703</v>
      </c>
      <c r="X11" s="823" t="s">
        <v>1920</v>
      </c>
      <c r="Y11" s="823">
        <v>210</v>
      </c>
      <c r="Z11" s="823">
        <v>365</v>
      </c>
      <c r="AC11" s="831">
        <v>1</v>
      </c>
      <c r="AD11" s="835" t="s">
        <v>1204</v>
      </c>
      <c r="AG11" s="815"/>
      <c r="AJ11" s="836">
        <v>100</v>
      </c>
      <c r="AM11" s="1694"/>
      <c r="AN11" s="1694"/>
      <c r="AO11" s="1694"/>
      <c r="AP11" s="1694"/>
      <c r="AQ11" s="1694"/>
      <c r="AR11" s="1694"/>
      <c r="AS11" s="1694"/>
      <c r="AT11" s="1694"/>
    </row>
    <row r="12" spans="2:46" ht="15.75" x14ac:dyDescent="0.25">
      <c r="B12" s="822" t="s">
        <v>2704</v>
      </c>
      <c r="C12" s="822"/>
      <c r="D12" s="1695">
        <v>40</v>
      </c>
      <c r="E12" s="1695"/>
      <c r="F12" s="1695">
        <v>100</v>
      </c>
      <c r="G12" s="1695"/>
      <c r="H12" s="814"/>
      <c r="I12" s="822" t="s">
        <v>2705</v>
      </c>
      <c r="J12" s="1695">
        <v>50</v>
      </c>
      <c r="K12" s="1695"/>
      <c r="L12" s="1695">
        <v>150</v>
      </c>
      <c r="M12" s="1695"/>
      <c r="N12" s="815"/>
      <c r="O12" s="815"/>
      <c r="P12" s="823">
        <v>1</v>
      </c>
      <c r="Q12" s="822" t="s">
        <v>2706</v>
      </c>
      <c r="R12" s="823">
        <v>20</v>
      </c>
      <c r="S12" s="823" t="s">
        <v>2707</v>
      </c>
      <c r="T12" s="823" t="s">
        <v>2694</v>
      </c>
      <c r="U12" s="823" t="s">
        <v>2685</v>
      </c>
      <c r="V12" s="823" t="s">
        <v>2702</v>
      </c>
      <c r="W12" s="822" t="s">
        <v>2687</v>
      </c>
      <c r="X12" s="823" t="s">
        <v>2688</v>
      </c>
      <c r="Y12" s="823">
        <v>620</v>
      </c>
      <c r="Z12" s="823">
        <v>1290</v>
      </c>
      <c r="AC12" s="831">
        <v>1</v>
      </c>
      <c r="AD12" s="835" t="s">
        <v>1206</v>
      </c>
      <c r="AG12" s="815"/>
      <c r="AJ12" s="836">
        <v>100</v>
      </c>
      <c r="AM12" s="1694"/>
      <c r="AN12" s="1694"/>
      <c r="AO12" s="1694"/>
      <c r="AP12" s="1694"/>
      <c r="AQ12" s="1694"/>
      <c r="AR12" s="1694"/>
      <c r="AS12" s="1694"/>
      <c r="AT12" s="1694"/>
    </row>
    <row r="13" spans="2:46" ht="15.75" x14ac:dyDescent="0.25">
      <c r="B13" s="822" t="s">
        <v>2708</v>
      </c>
      <c r="C13" s="822"/>
      <c r="D13" s="1695">
        <v>20</v>
      </c>
      <c r="E13" s="1695"/>
      <c r="F13" s="1695">
        <v>50</v>
      </c>
      <c r="G13" s="1695"/>
      <c r="H13" s="814"/>
      <c r="I13" s="822" t="s">
        <v>2709</v>
      </c>
      <c r="J13" s="1695">
        <v>600</v>
      </c>
      <c r="K13" s="1695"/>
      <c r="L13" s="1696">
        <v>1000</v>
      </c>
      <c r="M13" s="1696"/>
      <c r="N13" s="815"/>
      <c r="O13" s="815"/>
      <c r="P13" s="823">
        <v>1</v>
      </c>
      <c r="Q13" s="822" t="s">
        <v>2710</v>
      </c>
      <c r="R13" s="823">
        <v>10</v>
      </c>
      <c r="S13" s="823" t="s">
        <v>2711</v>
      </c>
      <c r="T13" s="823" t="s">
        <v>2684</v>
      </c>
      <c r="U13" s="823" t="s">
        <v>2701</v>
      </c>
      <c r="V13" s="823" t="s">
        <v>2683</v>
      </c>
      <c r="W13" s="822" t="s">
        <v>2703</v>
      </c>
      <c r="X13" s="823" t="s">
        <v>1920</v>
      </c>
      <c r="Y13" s="823">
        <v>110</v>
      </c>
      <c r="Z13" s="823">
        <v>215</v>
      </c>
      <c r="AC13" s="824">
        <v>2</v>
      </c>
      <c r="AD13" s="838" t="s">
        <v>2712</v>
      </c>
      <c r="AE13" s="826"/>
      <c r="AF13" s="826"/>
      <c r="AG13" s="827"/>
      <c r="AH13" s="826"/>
      <c r="AI13" s="826"/>
      <c r="AJ13" s="839">
        <v>2000</v>
      </c>
      <c r="AM13" s="1697" t="s">
        <v>2713</v>
      </c>
      <c r="AN13" s="1692"/>
      <c r="AO13" s="1692"/>
      <c r="AP13" s="1692"/>
      <c r="AQ13" s="1692"/>
      <c r="AR13" s="1692"/>
      <c r="AS13" s="1692"/>
      <c r="AT13" s="1692"/>
    </row>
    <row r="14" spans="2:46" ht="15.75" x14ac:dyDescent="0.25">
      <c r="B14" s="822" t="s">
        <v>2714</v>
      </c>
      <c r="C14" s="822"/>
      <c r="D14" s="1695">
        <v>20</v>
      </c>
      <c r="E14" s="1695"/>
      <c r="F14" s="1695">
        <v>50</v>
      </c>
      <c r="G14" s="1695"/>
      <c r="H14" s="814"/>
      <c r="I14" s="822" t="s">
        <v>2715</v>
      </c>
      <c r="J14" s="1695">
        <v>60</v>
      </c>
      <c r="K14" s="1695"/>
      <c r="L14" s="1695">
        <v>200</v>
      </c>
      <c r="M14" s="1695"/>
      <c r="N14" s="815"/>
      <c r="O14" s="815"/>
      <c r="P14" s="823">
        <v>2</v>
      </c>
      <c r="Q14" s="822" t="s">
        <v>2716</v>
      </c>
      <c r="R14" s="823">
        <v>30</v>
      </c>
      <c r="S14" s="823" t="s">
        <v>2717</v>
      </c>
      <c r="T14" s="823" t="s">
        <v>2684</v>
      </c>
      <c r="U14" s="823" t="s">
        <v>1752</v>
      </c>
      <c r="V14" s="823" t="s">
        <v>2683</v>
      </c>
      <c r="W14" s="822" t="s">
        <v>2687</v>
      </c>
      <c r="X14" s="823" t="s">
        <v>2688</v>
      </c>
      <c r="Y14" s="823">
        <v>560</v>
      </c>
      <c r="Z14" s="823">
        <v>1220</v>
      </c>
      <c r="AC14" s="824">
        <v>2</v>
      </c>
      <c r="AD14" s="838" t="s">
        <v>2718</v>
      </c>
      <c r="AE14" s="826"/>
      <c r="AF14" s="826"/>
      <c r="AG14" s="827"/>
      <c r="AH14" s="826"/>
      <c r="AI14" s="826"/>
      <c r="AJ14" s="839">
        <v>200</v>
      </c>
      <c r="AM14" s="1692"/>
      <c r="AN14" s="1692"/>
      <c r="AO14" s="1692"/>
      <c r="AP14" s="1692"/>
      <c r="AQ14" s="1692"/>
      <c r="AR14" s="1692"/>
      <c r="AS14" s="1692"/>
      <c r="AT14" s="1692"/>
    </row>
    <row r="15" spans="2:46" ht="15.75" x14ac:dyDescent="0.25">
      <c r="B15" s="822" t="s">
        <v>2719</v>
      </c>
      <c r="C15" s="822"/>
      <c r="D15" s="1695">
        <v>20</v>
      </c>
      <c r="E15" s="1695"/>
      <c r="F15" s="1695">
        <v>50</v>
      </c>
      <c r="G15" s="1695"/>
      <c r="H15" s="814"/>
      <c r="I15" s="822" t="s">
        <v>2720</v>
      </c>
      <c r="J15" s="1695">
        <v>60</v>
      </c>
      <c r="K15" s="1695"/>
      <c r="L15" s="1695">
        <v>300</v>
      </c>
      <c r="M15" s="1695"/>
      <c r="N15" s="815"/>
      <c r="O15" s="815"/>
      <c r="P15" s="823">
        <v>2</v>
      </c>
      <c r="Q15" s="822" t="s">
        <v>2721</v>
      </c>
      <c r="R15" s="823">
        <v>20</v>
      </c>
      <c r="S15" s="823" t="s">
        <v>2722</v>
      </c>
      <c r="T15" s="823" t="s">
        <v>2694</v>
      </c>
      <c r="U15" s="823" t="s">
        <v>2685</v>
      </c>
      <c r="V15" s="823" t="s">
        <v>2683</v>
      </c>
      <c r="W15" s="822" t="s">
        <v>2703</v>
      </c>
      <c r="X15" s="823" t="s">
        <v>1920</v>
      </c>
      <c r="Y15" s="823">
        <v>640</v>
      </c>
      <c r="Z15" s="823">
        <v>1060</v>
      </c>
      <c r="AC15" s="824">
        <v>2</v>
      </c>
      <c r="AD15" s="840" t="s">
        <v>2723</v>
      </c>
      <c r="AE15" s="826"/>
      <c r="AF15" s="826"/>
      <c r="AG15" s="827"/>
      <c r="AH15" s="826"/>
      <c r="AI15" s="826"/>
      <c r="AJ15" s="841">
        <v>2000</v>
      </c>
      <c r="AM15" s="1692"/>
      <c r="AN15" s="1692"/>
      <c r="AO15" s="1692"/>
      <c r="AP15" s="1692"/>
      <c r="AQ15" s="1692"/>
      <c r="AR15" s="1692"/>
      <c r="AS15" s="1692"/>
      <c r="AT15" s="1692"/>
    </row>
    <row r="16" spans="2:46" ht="15.75" x14ac:dyDescent="0.25">
      <c r="B16" s="822" t="s">
        <v>2724</v>
      </c>
      <c r="C16" s="822"/>
      <c r="D16" s="1695">
        <v>20</v>
      </c>
      <c r="E16" s="1695"/>
      <c r="F16" s="1695">
        <v>50</v>
      </c>
      <c r="G16" s="1695"/>
      <c r="H16" s="814"/>
      <c r="I16" s="822" t="s">
        <v>2725</v>
      </c>
      <c r="J16" s="1695">
        <v>60</v>
      </c>
      <c r="K16" s="1695"/>
      <c r="L16" s="1695">
        <v>200</v>
      </c>
      <c r="M16" s="1695"/>
      <c r="N16" s="815"/>
      <c r="O16" s="815"/>
      <c r="P16" s="823">
        <v>2</v>
      </c>
      <c r="Q16" s="822" t="s">
        <v>2726</v>
      </c>
      <c r="R16" s="823">
        <v>30</v>
      </c>
      <c r="S16" s="823" t="s">
        <v>2727</v>
      </c>
      <c r="T16" s="823" t="s">
        <v>2694</v>
      </c>
      <c r="U16" s="823" t="s">
        <v>2685</v>
      </c>
      <c r="V16" s="823" t="s">
        <v>2683</v>
      </c>
      <c r="W16" s="822" t="s">
        <v>2687</v>
      </c>
      <c r="X16" s="823" t="s">
        <v>2688</v>
      </c>
      <c r="Y16" s="823">
        <v>260</v>
      </c>
      <c r="Z16" s="823">
        <v>620</v>
      </c>
      <c r="AC16" s="824">
        <v>2</v>
      </c>
      <c r="AD16" s="842" t="s">
        <v>1196</v>
      </c>
      <c r="AE16" s="826"/>
      <c r="AF16" s="826"/>
      <c r="AG16" s="827"/>
      <c r="AH16" s="826"/>
      <c r="AI16" s="826"/>
      <c r="AJ16" s="843">
        <v>200</v>
      </c>
      <c r="AM16" s="1697" t="s">
        <v>2728</v>
      </c>
      <c r="AN16" s="1694"/>
      <c r="AO16" s="1694"/>
      <c r="AP16" s="1694"/>
      <c r="AQ16" s="1694"/>
      <c r="AR16" s="1694"/>
      <c r="AS16" s="1694"/>
      <c r="AT16" s="1694"/>
    </row>
    <row r="17" spans="2:46" ht="15.75" x14ac:dyDescent="0.25">
      <c r="B17" s="822" t="s">
        <v>2729</v>
      </c>
      <c r="C17" s="822"/>
      <c r="D17" s="1695">
        <v>120</v>
      </c>
      <c r="E17" s="1695"/>
      <c r="F17" s="1695">
        <v>160</v>
      </c>
      <c r="G17" s="1695"/>
      <c r="H17" s="814"/>
      <c r="I17" s="822" t="s">
        <v>2730</v>
      </c>
      <c r="J17" s="1695">
        <v>60</v>
      </c>
      <c r="K17" s="1695"/>
      <c r="L17" s="1695">
        <v>200</v>
      </c>
      <c r="M17" s="1695"/>
      <c r="N17" s="815"/>
      <c r="O17" s="815"/>
      <c r="P17" s="823">
        <v>2</v>
      </c>
      <c r="Q17" s="822" t="s">
        <v>2731</v>
      </c>
      <c r="R17" s="823">
        <v>20</v>
      </c>
      <c r="S17" s="823" t="s">
        <v>2732</v>
      </c>
      <c r="T17" s="823" t="s">
        <v>2684</v>
      </c>
      <c r="U17" s="823" t="s">
        <v>2685</v>
      </c>
      <c r="V17" s="823" t="s">
        <v>2702</v>
      </c>
      <c r="W17" s="822" t="s">
        <v>2703</v>
      </c>
      <c r="X17" s="823" t="s">
        <v>1920</v>
      </c>
      <c r="Y17" s="823">
        <v>440</v>
      </c>
      <c r="Z17" s="823">
        <v>760</v>
      </c>
      <c r="AC17" s="831">
        <v>2</v>
      </c>
      <c r="AD17" s="844" t="s">
        <v>2733</v>
      </c>
      <c r="AG17" s="815"/>
      <c r="AJ17" s="845">
        <v>200</v>
      </c>
      <c r="AM17" s="1694"/>
      <c r="AN17" s="1694"/>
      <c r="AO17" s="1694"/>
      <c r="AP17" s="1694"/>
      <c r="AQ17" s="1694"/>
      <c r="AR17" s="1694"/>
      <c r="AS17" s="1694"/>
      <c r="AT17" s="1694"/>
    </row>
    <row r="18" spans="2:46" ht="15.75" x14ac:dyDescent="0.25">
      <c r="B18" s="822" t="s">
        <v>2734</v>
      </c>
      <c r="C18" s="822"/>
      <c r="D18" s="1695">
        <v>30</v>
      </c>
      <c r="E18" s="1695"/>
      <c r="F18" s="1695">
        <v>75</v>
      </c>
      <c r="G18" s="1695"/>
      <c r="H18" s="814"/>
      <c r="I18" s="822" t="s">
        <v>2735</v>
      </c>
      <c r="J18" s="1695">
        <v>70</v>
      </c>
      <c r="K18" s="1695"/>
      <c r="L18" s="1695">
        <v>250</v>
      </c>
      <c r="M18" s="1695"/>
      <c r="N18" s="815"/>
      <c r="O18" s="815"/>
      <c r="P18" s="823">
        <v>3</v>
      </c>
      <c r="Q18" s="822" t="s">
        <v>2736</v>
      </c>
      <c r="R18" s="823">
        <v>40</v>
      </c>
      <c r="S18" s="823" t="s">
        <v>2737</v>
      </c>
      <c r="T18" s="823" t="s">
        <v>2738</v>
      </c>
      <c r="U18" s="823" t="s">
        <v>1752</v>
      </c>
      <c r="V18" s="823" t="s">
        <v>2739</v>
      </c>
      <c r="W18" s="822" t="s">
        <v>2687</v>
      </c>
      <c r="X18" s="823" t="s">
        <v>2688</v>
      </c>
      <c r="Y18" s="823">
        <v>520</v>
      </c>
      <c r="Z18" s="823">
        <v>1190</v>
      </c>
      <c r="AC18" s="831">
        <v>2</v>
      </c>
      <c r="AD18" s="835" t="s">
        <v>1202</v>
      </c>
      <c r="AG18" s="815"/>
      <c r="AJ18" s="836">
        <v>200</v>
      </c>
      <c r="AM18" s="821" t="s">
        <v>2740</v>
      </c>
    </row>
    <row r="19" spans="2:46" ht="15.75" x14ac:dyDescent="0.25">
      <c r="B19" s="822" t="s">
        <v>2741</v>
      </c>
      <c r="C19" s="822"/>
      <c r="D19" s="1695">
        <v>30</v>
      </c>
      <c r="E19" s="1695"/>
      <c r="F19" s="1695">
        <v>75</v>
      </c>
      <c r="G19" s="1695"/>
      <c r="H19" s="814"/>
      <c r="I19" s="822" t="s">
        <v>2742</v>
      </c>
      <c r="J19" s="1695">
        <v>700</v>
      </c>
      <c r="K19" s="1695"/>
      <c r="L19" s="1696">
        <v>1200</v>
      </c>
      <c r="M19" s="1696"/>
      <c r="N19" s="815"/>
      <c r="O19" s="815"/>
      <c r="P19" s="823">
        <v>3</v>
      </c>
      <c r="Q19" s="822" t="s">
        <v>2743</v>
      </c>
      <c r="R19" s="823">
        <v>20</v>
      </c>
      <c r="S19" s="823" t="s">
        <v>2744</v>
      </c>
      <c r="T19" s="823" t="s">
        <v>2684</v>
      </c>
      <c r="U19" s="823" t="s">
        <v>1752</v>
      </c>
      <c r="V19" s="823" t="s">
        <v>2745</v>
      </c>
      <c r="W19" s="822" t="s">
        <v>2746</v>
      </c>
      <c r="X19" s="823" t="s">
        <v>1920</v>
      </c>
      <c r="Y19" s="823">
        <v>560</v>
      </c>
      <c r="Z19" s="823">
        <v>990</v>
      </c>
      <c r="AC19" s="831">
        <v>3</v>
      </c>
      <c r="AD19" s="835" t="s">
        <v>1188</v>
      </c>
      <c r="AG19" s="815"/>
      <c r="AJ19" s="836">
        <v>300</v>
      </c>
    </row>
    <row r="20" spans="2:46" ht="15.75" x14ac:dyDescent="0.25">
      <c r="B20" s="822" t="s">
        <v>2747</v>
      </c>
      <c r="C20" s="822"/>
      <c r="D20" s="1695">
        <v>30</v>
      </c>
      <c r="E20" s="1695"/>
      <c r="F20" s="1695">
        <v>75</v>
      </c>
      <c r="G20" s="1695"/>
      <c r="H20" s="814"/>
      <c r="I20" s="822" t="s">
        <v>2748</v>
      </c>
      <c r="J20" s="1695">
        <v>70</v>
      </c>
      <c r="K20" s="1695"/>
      <c r="L20" s="1695">
        <v>350</v>
      </c>
      <c r="M20" s="1695"/>
      <c r="N20" s="815"/>
      <c r="O20" s="815"/>
      <c r="P20" s="823">
        <v>3</v>
      </c>
      <c r="Q20" s="1417" t="s">
        <v>2749</v>
      </c>
      <c r="R20" s="1418">
        <v>20</v>
      </c>
      <c r="S20" s="1418" t="s">
        <v>2693</v>
      </c>
      <c r="T20" s="1418" t="s">
        <v>2694</v>
      </c>
      <c r="U20" s="1418" t="s">
        <v>2685</v>
      </c>
      <c r="V20" s="1418" t="s">
        <v>2745</v>
      </c>
      <c r="W20" s="1417" t="s">
        <v>2703</v>
      </c>
      <c r="X20" s="1418" t="s">
        <v>1920</v>
      </c>
      <c r="Y20" s="1418">
        <v>1360</v>
      </c>
      <c r="Z20" s="1418">
        <v>2190</v>
      </c>
      <c r="AC20" s="831">
        <v>3</v>
      </c>
      <c r="AD20" s="844" t="s">
        <v>1191</v>
      </c>
      <c r="AG20" s="815"/>
      <c r="AJ20" s="845">
        <v>3000</v>
      </c>
      <c r="AM20" s="1697" t="s">
        <v>2750</v>
      </c>
      <c r="AN20" s="1692"/>
      <c r="AO20" s="1692"/>
      <c r="AP20" s="1692"/>
      <c r="AQ20" s="1692"/>
      <c r="AR20" s="1692"/>
      <c r="AS20" s="1692"/>
      <c r="AT20" s="1692"/>
    </row>
    <row r="21" spans="2:46" ht="15.75" x14ac:dyDescent="0.25">
      <c r="B21" s="822" t="s">
        <v>2751</v>
      </c>
      <c r="C21" s="822"/>
      <c r="D21" s="1695">
        <v>30</v>
      </c>
      <c r="E21" s="1695"/>
      <c r="F21" s="1695">
        <v>75</v>
      </c>
      <c r="G21" s="1695"/>
      <c r="H21" s="814"/>
      <c r="I21" s="822" t="s">
        <v>2752</v>
      </c>
      <c r="J21" s="1695">
        <v>70</v>
      </c>
      <c r="K21" s="1695"/>
      <c r="L21" s="1695">
        <v>250</v>
      </c>
      <c r="M21" s="1695"/>
      <c r="N21" s="815"/>
      <c r="O21" s="815"/>
      <c r="P21" s="823">
        <v>3</v>
      </c>
      <c r="Q21" s="822" t="s">
        <v>2753</v>
      </c>
      <c r="R21" s="823">
        <v>30</v>
      </c>
      <c r="S21" s="823" t="s">
        <v>2711</v>
      </c>
      <c r="T21" s="823" t="s">
        <v>2738</v>
      </c>
      <c r="U21" s="823" t="s">
        <v>2685</v>
      </c>
      <c r="V21" s="823" t="s">
        <v>2683</v>
      </c>
      <c r="W21" s="822" t="s">
        <v>2687</v>
      </c>
      <c r="X21" s="823" t="s">
        <v>2688</v>
      </c>
      <c r="Y21" s="823">
        <v>490</v>
      </c>
      <c r="Z21" s="823">
        <v>1130</v>
      </c>
      <c r="AC21" s="824">
        <v>3</v>
      </c>
      <c r="AD21" s="838" t="s">
        <v>2754</v>
      </c>
      <c r="AE21" s="826"/>
      <c r="AF21" s="826"/>
      <c r="AG21" s="827"/>
      <c r="AH21" s="826"/>
      <c r="AI21" s="826"/>
      <c r="AJ21" s="839">
        <v>3000</v>
      </c>
      <c r="AM21" s="1692"/>
      <c r="AN21" s="1692"/>
      <c r="AO21" s="1692"/>
      <c r="AP21" s="1692"/>
      <c r="AQ21" s="1692"/>
      <c r="AR21" s="1692"/>
      <c r="AS21" s="1692"/>
      <c r="AT21" s="1692"/>
    </row>
    <row r="22" spans="2:46" ht="15.75" x14ac:dyDescent="0.25">
      <c r="B22" s="822" t="s">
        <v>2755</v>
      </c>
      <c r="C22" s="822"/>
      <c r="D22" s="1695">
        <v>30</v>
      </c>
      <c r="E22" s="1695"/>
      <c r="F22" s="1695">
        <v>75</v>
      </c>
      <c r="G22" s="1695"/>
      <c r="H22" s="814"/>
      <c r="I22" s="822" t="s">
        <v>2756</v>
      </c>
      <c r="J22" s="1695">
        <v>70</v>
      </c>
      <c r="K22" s="1695"/>
      <c r="L22" s="1695">
        <v>250</v>
      </c>
      <c r="M22" s="1695"/>
      <c r="N22" s="815"/>
      <c r="O22" s="815"/>
      <c r="P22" s="823">
        <v>3</v>
      </c>
      <c r="Q22" s="822" t="s">
        <v>2757</v>
      </c>
      <c r="R22" s="823">
        <v>20</v>
      </c>
      <c r="S22" s="823" t="s">
        <v>2758</v>
      </c>
      <c r="T22" s="823" t="s">
        <v>2738</v>
      </c>
      <c r="U22" s="823" t="s">
        <v>2685</v>
      </c>
      <c r="V22" s="823" t="s">
        <v>2683</v>
      </c>
      <c r="W22" s="822" t="s">
        <v>2687</v>
      </c>
      <c r="X22" s="823" t="s">
        <v>2688</v>
      </c>
      <c r="Y22" s="823">
        <v>460</v>
      </c>
      <c r="Z22" s="823">
        <v>1070</v>
      </c>
      <c r="AC22" s="824">
        <v>3</v>
      </c>
      <c r="AD22" s="842" t="s">
        <v>1197</v>
      </c>
      <c r="AE22" s="826"/>
      <c r="AF22" s="826"/>
      <c r="AG22" s="827"/>
      <c r="AH22" s="826"/>
      <c r="AI22" s="826"/>
      <c r="AJ22" s="846">
        <v>3000</v>
      </c>
      <c r="AM22" s="1698"/>
      <c r="AN22" s="1698"/>
      <c r="AO22" s="1698"/>
      <c r="AP22" s="1698"/>
      <c r="AQ22" s="1698"/>
      <c r="AR22" s="1698"/>
      <c r="AS22" s="1698"/>
      <c r="AT22" s="1698"/>
    </row>
    <row r="23" spans="2:46" ht="15.75" x14ac:dyDescent="0.25">
      <c r="B23" s="822" t="s">
        <v>2759</v>
      </c>
      <c r="C23" s="822"/>
      <c r="D23" s="1695">
        <v>30</v>
      </c>
      <c r="E23" s="1695"/>
      <c r="F23" s="1695">
        <v>75</v>
      </c>
      <c r="G23" s="1695"/>
      <c r="H23" s="814"/>
      <c r="I23" s="822" t="s">
        <v>2760</v>
      </c>
      <c r="J23" s="1695">
        <v>70</v>
      </c>
      <c r="K23" s="1695"/>
      <c r="L23" s="1695">
        <v>350</v>
      </c>
      <c r="M23" s="1695"/>
      <c r="N23" s="815"/>
      <c r="O23" s="815"/>
      <c r="P23" s="823">
        <v>4</v>
      </c>
      <c r="Q23" s="822" t="s">
        <v>2761</v>
      </c>
      <c r="R23" s="823">
        <v>40</v>
      </c>
      <c r="S23" s="823" t="s">
        <v>2737</v>
      </c>
      <c r="T23" s="823" t="s">
        <v>2738</v>
      </c>
      <c r="U23" s="823" t="s">
        <v>1752</v>
      </c>
      <c r="V23" s="823" t="s">
        <v>2739</v>
      </c>
      <c r="W23" s="822" t="s">
        <v>2687</v>
      </c>
      <c r="X23" s="823" t="s">
        <v>2762</v>
      </c>
      <c r="Y23" s="823">
        <v>560</v>
      </c>
      <c r="Z23" s="823">
        <v>1320</v>
      </c>
      <c r="AC23" s="824">
        <v>3</v>
      </c>
      <c r="AD23" s="842" t="s">
        <v>2763</v>
      </c>
      <c r="AE23" s="826"/>
      <c r="AF23" s="826"/>
      <c r="AG23" s="827"/>
      <c r="AH23" s="826"/>
      <c r="AI23" s="826"/>
      <c r="AJ23" s="843">
        <v>10</v>
      </c>
      <c r="AM23" s="821" t="s">
        <v>2764</v>
      </c>
    </row>
    <row r="24" spans="2:46" ht="15.75" x14ac:dyDescent="0.25">
      <c r="B24" s="822" t="s">
        <v>2765</v>
      </c>
      <c r="C24" s="822"/>
      <c r="D24" s="1695">
        <v>40</v>
      </c>
      <c r="E24" s="1695"/>
      <c r="F24" s="1695">
        <v>100</v>
      </c>
      <c r="G24" s="1695"/>
      <c r="H24" s="814"/>
      <c r="I24" s="822" t="s">
        <v>2766</v>
      </c>
      <c r="J24" s="1695">
        <v>80</v>
      </c>
      <c r="K24" s="1695"/>
      <c r="L24" s="1695">
        <v>300</v>
      </c>
      <c r="M24" s="1695"/>
      <c r="N24" s="815"/>
      <c r="O24" s="815"/>
      <c r="P24" s="823">
        <v>4</v>
      </c>
      <c r="Q24" s="822" t="s">
        <v>2767</v>
      </c>
      <c r="R24" s="823">
        <v>20</v>
      </c>
      <c r="S24" s="823" t="s">
        <v>2722</v>
      </c>
      <c r="T24" s="823" t="s">
        <v>2768</v>
      </c>
      <c r="U24" s="823" t="s">
        <v>2685</v>
      </c>
      <c r="V24" s="823" t="s">
        <v>2739</v>
      </c>
      <c r="W24" s="822" t="s">
        <v>2703</v>
      </c>
      <c r="X24" s="823" t="s">
        <v>1920</v>
      </c>
      <c r="Y24" s="823">
        <v>2480</v>
      </c>
      <c r="Z24" s="823">
        <v>3920</v>
      </c>
      <c r="AC24" s="824">
        <v>3</v>
      </c>
      <c r="AD24" s="825" t="s">
        <v>2769</v>
      </c>
      <c r="AE24" s="826"/>
      <c r="AF24" s="826"/>
      <c r="AG24" s="827"/>
      <c r="AH24" s="826"/>
      <c r="AI24" s="826"/>
      <c r="AJ24" s="824">
        <v>4000</v>
      </c>
    </row>
    <row r="25" spans="2:46" ht="15.75" x14ac:dyDescent="0.25">
      <c r="B25" s="822" t="s">
        <v>2770</v>
      </c>
      <c r="C25" s="822"/>
      <c r="D25" s="1695">
        <v>400</v>
      </c>
      <c r="E25" s="1695"/>
      <c r="F25" s="1695">
        <v>500</v>
      </c>
      <c r="G25" s="1695"/>
      <c r="H25" s="814"/>
      <c r="I25" s="822" t="s">
        <v>2771</v>
      </c>
      <c r="J25" s="1695">
        <v>80</v>
      </c>
      <c r="K25" s="1695"/>
      <c r="L25" s="1695">
        <v>300</v>
      </c>
      <c r="M25" s="1695"/>
      <c r="N25" s="815"/>
      <c r="O25" s="815"/>
      <c r="P25" s="823">
        <v>4</v>
      </c>
      <c r="Q25" s="822" t="s">
        <v>2772</v>
      </c>
      <c r="R25" s="823">
        <v>40</v>
      </c>
      <c r="S25" s="823" t="s">
        <v>2744</v>
      </c>
      <c r="T25" s="823" t="s">
        <v>2738</v>
      </c>
      <c r="U25" s="823" t="s">
        <v>2773</v>
      </c>
      <c r="V25" s="823" t="s">
        <v>2702</v>
      </c>
      <c r="W25" s="822" t="s">
        <v>2703</v>
      </c>
      <c r="X25" s="823" t="s">
        <v>1920</v>
      </c>
      <c r="Y25" s="823">
        <v>1360</v>
      </c>
      <c r="Z25" s="823">
        <v>2240</v>
      </c>
      <c r="AC25" s="831">
        <v>3</v>
      </c>
      <c r="AD25" s="834" t="s">
        <v>1205</v>
      </c>
      <c r="AG25" s="815"/>
      <c r="AJ25" s="831">
        <v>300</v>
      </c>
      <c r="AM25" s="821" t="s">
        <v>2774</v>
      </c>
    </row>
    <row r="26" spans="2:46" ht="15.75" x14ac:dyDescent="0.25">
      <c r="B26" s="822" t="s">
        <v>2775</v>
      </c>
      <c r="C26" s="822"/>
      <c r="D26" s="1695">
        <v>40</v>
      </c>
      <c r="E26" s="1695"/>
      <c r="F26" s="1695">
        <v>100</v>
      </c>
      <c r="G26" s="1695"/>
      <c r="H26" s="814"/>
      <c r="I26" s="822" t="s">
        <v>2776</v>
      </c>
      <c r="J26" s="1695">
        <v>80</v>
      </c>
      <c r="K26" s="1695"/>
      <c r="L26" s="1695">
        <v>300</v>
      </c>
      <c r="M26" s="1695"/>
      <c r="N26" s="815"/>
      <c r="O26" s="815"/>
      <c r="P26" s="823">
        <v>4</v>
      </c>
      <c r="Q26" s="1417" t="s">
        <v>2777</v>
      </c>
      <c r="R26" s="1418">
        <v>20</v>
      </c>
      <c r="S26" s="1418" t="s">
        <v>2732</v>
      </c>
      <c r="T26" s="1418" t="s">
        <v>2694</v>
      </c>
      <c r="U26" s="1418" t="s">
        <v>2586</v>
      </c>
      <c r="V26" s="1418" t="s">
        <v>2745</v>
      </c>
      <c r="W26" s="1417" t="s">
        <v>2703</v>
      </c>
      <c r="X26" s="1418" t="s">
        <v>2778</v>
      </c>
      <c r="Y26" s="1418">
        <v>1680</v>
      </c>
      <c r="Z26" s="1418">
        <v>2720</v>
      </c>
      <c r="AC26" s="831">
        <v>3</v>
      </c>
      <c r="AD26" s="832" t="s">
        <v>2779</v>
      </c>
      <c r="AG26" s="815"/>
      <c r="AJ26" s="847">
        <v>3000</v>
      </c>
    </row>
    <row r="27" spans="2:46" ht="15.75" x14ac:dyDescent="0.25">
      <c r="B27" s="822" t="s">
        <v>2780</v>
      </c>
      <c r="C27" s="822"/>
      <c r="D27" s="1695">
        <v>40</v>
      </c>
      <c r="E27" s="1695"/>
      <c r="F27" s="1695">
        <v>100</v>
      </c>
      <c r="G27" s="1695"/>
      <c r="H27" s="814"/>
      <c r="I27" s="822" t="s">
        <v>2781</v>
      </c>
      <c r="J27" s="1695">
        <v>80</v>
      </c>
      <c r="K27" s="1695"/>
      <c r="L27" s="1695">
        <v>300</v>
      </c>
      <c r="M27" s="1695"/>
      <c r="N27" s="815"/>
      <c r="O27" s="815"/>
      <c r="P27" s="823">
        <v>4</v>
      </c>
      <c r="Q27" s="822" t="s">
        <v>2782</v>
      </c>
      <c r="R27" s="823">
        <v>40</v>
      </c>
      <c r="S27" s="823" t="s">
        <v>2783</v>
      </c>
      <c r="T27" s="823" t="s">
        <v>2694</v>
      </c>
      <c r="U27" s="823" t="s">
        <v>1752</v>
      </c>
      <c r="V27" s="823" t="s">
        <v>2745</v>
      </c>
      <c r="W27" s="822" t="s">
        <v>2687</v>
      </c>
      <c r="X27" s="823" t="s">
        <v>2688</v>
      </c>
      <c r="Y27" s="823">
        <v>1160</v>
      </c>
      <c r="Z27" s="823">
        <v>2520</v>
      </c>
      <c r="AC27" s="831">
        <v>4</v>
      </c>
      <c r="AD27" s="835" t="s">
        <v>2784</v>
      </c>
      <c r="AG27" s="815"/>
      <c r="AJ27" s="836">
        <v>4000</v>
      </c>
      <c r="AM27" s="1697" t="s">
        <v>2785</v>
      </c>
      <c r="AN27" s="1694"/>
      <c r="AO27" s="1694"/>
      <c r="AP27" s="1694"/>
      <c r="AQ27" s="1694"/>
      <c r="AR27" s="1694"/>
      <c r="AS27" s="1694"/>
      <c r="AT27" s="1694"/>
    </row>
    <row r="28" spans="2:46" ht="15.75" x14ac:dyDescent="0.25">
      <c r="B28" s="822" t="s">
        <v>2786</v>
      </c>
      <c r="C28" s="822"/>
      <c r="D28" s="1695">
        <v>40</v>
      </c>
      <c r="E28" s="1695"/>
      <c r="F28" s="1695">
        <v>150</v>
      </c>
      <c r="G28" s="1695"/>
      <c r="H28" s="814"/>
      <c r="I28" s="822" t="s">
        <v>2787</v>
      </c>
      <c r="J28" s="1695">
        <v>80</v>
      </c>
      <c r="K28" s="1695"/>
      <c r="L28" s="1695">
        <v>300</v>
      </c>
      <c r="M28" s="1695"/>
      <c r="N28" s="815"/>
      <c r="O28" s="815"/>
      <c r="P28" s="823">
        <v>4</v>
      </c>
      <c r="Q28" s="822" t="s">
        <v>2788</v>
      </c>
      <c r="R28" s="823">
        <v>20</v>
      </c>
      <c r="S28" s="823" t="s">
        <v>2579</v>
      </c>
      <c r="T28" s="823" t="s">
        <v>2738</v>
      </c>
      <c r="U28" s="823" t="s">
        <v>2685</v>
      </c>
      <c r="V28" s="823" t="s">
        <v>2789</v>
      </c>
      <c r="W28" s="822" t="s">
        <v>2687</v>
      </c>
      <c r="X28" s="823" t="s">
        <v>2688</v>
      </c>
      <c r="Y28" s="823">
        <v>2080</v>
      </c>
      <c r="Z28" s="823">
        <v>4360</v>
      </c>
      <c r="AC28" s="831">
        <v>4</v>
      </c>
      <c r="AD28" s="832" t="s">
        <v>2790</v>
      </c>
      <c r="AG28" s="815"/>
      <c r="AJ28" s="833" t="s">
        <v>1920</v>
      </c>
      <c r="AM28" s="1694"/>
      <c r="AN28" s="1694"/>
      <c r="AO28" s="1694"/>
      <c r="AP28" s="1694"/>
      <c r="AQ28" s="1694"/>
      <c r="AR28" s="1694"/>
      <c r="AS28" s="1694"/>
      <c r="AT28" s="1694"/>
    </row>
    <row r="29" spans="2:46" ht="15.75" x14ac:dyDescent="0.25">
      <c r="B29" s="822" t="s">
        <v>2791</v>
      </c>
      <c r="C29" s="822"/>
      <c r="D29" s="1695">
        <v>400</v>
      </c>
      <c r="E29" s="1695"/>
      <c r="F29" s="1695">
        <v>500</v>
      </c>
      <c r="G29" s="1695"/>
      <c r="H29" s="814"/>
      <c r="I29" s="822" t="s">
        <v>2792</v>
      </c>
      <c r="J29" s="1695">
        <v>80</v>
      </c>
      <c r="K29" s="1695"/>
      <c r="L29" s="1695">
        <v>300</v>
      </c>
      <c r="M29" s="1695"/>
      <c r="N29" s="815"/>
      <c r="O29" s="815"/>
      <c r="P29" s="823">
        <v>4</v>
      </c>
      <c r="Q29" s="822" t="s">
        <v>2793</v>
      </c>
      <c r="R29" s="823">
        <v>40</v>
      </c>
      <c r="S29" s="823" t="s">
        <v>2783</v>
      </c>
      <c r="T29" s="823" t="s">
        <v>2738</v>
      </c>
      <c r="U29" s="823" t="s">
        <v>1752</v>
      </c>
      <c r="V29" s="823" t="s">
        <v>2683</v>
      </c>
      <c r="W29" s="822" t="s">
        <v>2687</v>
      </c>
      <c r="X29" s="823" t="s">
        <v>2688</v>
      </c>
      <c r="Y29" s="823">
        <v>960</v>
      </c>
      <c r="Z29" s="823">
        <v>2120</v>
      </c>
      <c r="AC29" s="824">
        <v>4</v>
      </c>
      <c r="AD29" s="840" t="s">
        <v>2794</v>
      </c>
      <c r="AE29" s="826"/>
      <c r="AF29" s="826"/>
      <c r="AG29" s="827"/>
      <c r="AH29" s="826"/>
      <c r="AI29" s="826"/>
      <c r="AJ29" s="841">
        <v>4000</v>
      </c>
    </row>
    <row r="30" spans="2:46" ht="15.75" x14ac:dyDescent="0.25">
      <c r="B30" s="822" t="s">
        <v>2795</v>
      </c>
      <c r="C30" s="822"/>
      <c r="D30" s="1695">
        <v>50</v>
      </c>
      <c r="E30" s="1695"/>
      <c r="F30" s="1695">
        <v>250</v>
      </c>
      <c r="G30" s="1695"/>
      <c r="H30" s="814"/>
      <c r="I30" s="822" t="s">
        <v>2796</v>
      </c>
      <c r="J30" s="1695">
        <v>80</v>
      </c>
      <c r="K30" s="1695"/>
      <c r="L30" s="1695">
        <v>300</v>
      </c>
      <c r="M30" s="1695"/>
      <c r="N30" s="815"/>
      <c r="O30" s="815"/>
      <c r="P30" s="823">
        <v>5</v>
      </c>
      <c r="Q30" s="822" t="s">
        <v>2797</v>
      </c>
      <c r="R30" s="823">
        <v>20</v>
      </c>
      <c r="S30" s="823" t="s">
        <v>2693</v>
      </c>
      <c r="T30" s="823" t="s">
        <v>2768</v>
      </c>
      <c r="U30" s="823" t="s">
        <v>2685</v>
      </c>
      <c r="V30" s="823" t="s">
        <v>2739</v>
      </c>
      <c r="W30" s="822" t="s">
        <v>2687</v>
      </c>
      <c r="X30" s="823" t="s">
        <v>2688</v>
      </c>
      <c r="Y30" s="823">
        <v>1700</v>
      </c>
      <c r="Z30" s="823">
        <v>3650</v>
      </c>
      <c r="AC30" s="824">
        <v>4</v>
      </c>
      <c r="AD30" s="829" t="s">
        <v>2798</v>
      </c>
      <c r="AE30" s="826"/>
      <c r="AF30" s="826"/>
      <c r="AG30" s="829"/>
      <c r="AH30" s="826"/>
      <c r="AI30" s="826"/>
      <c r="AJ30" s="830">
        <v>3000</v>
      </c>
      <c r="AM30" s="1697" t="s">
        <v>2799</v>
      </c>
      <c r="AN30" s="1692"/>
      <c r="AO30" s="1692"/>
      <c r="AP30" s="1692"/>
      <c r="AQ30" s="1692"/>
      <c r="AR30" s="1692"/>
      <c r="AS30" s="1692"/>
      <c r="AT30" s="1692"/>
    </row>
    <row r="31" spans="2:46" ht="15.75" x14ac:dyDescent="0.25">
      <c r="B31" s="822" t="s">
        <v>2800</v>
      </c>
      <c r="C31" s="822"/>
      <c r="D31" s="1695">
        <v>500</v>
      </c>
      <c r="E31" s="1695"/>
      <c r="F31" s="1695">
        <v>600</v>
      </c>
      <c r="G31" s="1695"/>
      <c r="H31" s="814"/>
      <c r="I31" s="822" t="s">
        <v>2801</v>
      </c>
      <c r="J31" s="1696">
        <v>4500</v>
      </c>
      <c r="K31" s="1696"/>
      <c r="L31" s="1696">
        <v>5000</v>
      </c>
      <c r="M31" s="1696"/>
      <c r="N31" s="815"/>
      <c r="O31" s="814"/>
      <c r="P31" s="823">
        <v>5</v>
      </c>
      <c r="Q31" s="822" t="s">
        <v>2802</v>
      </c>
      <c r="R31" s="823">
        <v>50</v>
      </c>
      <c r="S31" s="823" t="s">
        <v>2727</v>
      </c>
      <c r="T31" s="823" t="s">
        <v>2738</v>
      </c>
      <c r="U31" s="823" t="s">
        <v>2773</v>
      </c>
      <c r="V31" s="823" t="s">
        <v>2803</v>
      </c>
      <c r="W31" s="822" t="s">
        <v>2687</v>
      </c>
      <c r="X31" s="823" t="s">
        <v>2688</v>
      </c>
      <c r="Y31" s="823">
        <v>1450</v>
      </c>
      <c r="Z31" s="823">
        <v>3150</v>
      </c>
      <c r="AC31" s="824">
        <v>4</v>
      </c>
      <c r="AD31" s="838" t="s">
        <v>2804</v>
      </c>
      <c r="AE31" s="826"/>
      <c r="AF31" s="826"/>
      <c r="AG31" s="827"/>
      <c r="AH31" s="826"/>
      <c r="AI31" s="826"/>
      <c r="AJ31" s="839">
        <v>10</v>
      </c>
      <c r="AM31" s="1692"/>
      <c r="AN31" s="1692"/>
      <c r="AO31" s="1692"/>
      <c r="AP31" s="1692"/>
      <c r="AQ31" s="1692"/>
      <c r="AR31" s="1692"/>
      <c r="AS31" s="1692"/>
      <c r="AT31" s="1692"/>
    </row>
    <row r="32" spans="2:46" ht="15.75" x14ac:dyDescent="0.25">
      <c r="B32" s="822" t="s">
        <v>2805</v>
      </c>
      <c r="C32" s="822"/>
      <c r="D32" s="1695">
        <v>500</v>
      </c>
      <c r="E32" s="1695"/>
      <c r="F32" s="1695">
        <v>600</v>
      </c>
      <c r="G32" s="1695"/>
      <c r="H32" s="814"/>
      <c r="I32" s="822" t="s">
        <v>2806</v>
      </c>
      <c r="J32" s="1696">
        <v>4500</v>
      </c>
      <c r="K32" s="1696"/>
      <c r="L32" s="1696">
        <v>10000</v>
      </c>
      <c r="M32" s="1696"/>
      <c r="N32" s="815"/>
      <c r="O32" s="822"/>
      <c r="P32" s="823">
        <v>5</v>
      </c>
      <c r="Q32" s="822" t="s">
        <v>2807</v>
      </c>
      <c r="R32" s="823">
        <v>40</v>
      </c>
      <c r="S32" s="823" t="s">
        <v>2575</v>
      </c>
      <c r="T32" s="823" t="s">
        <v>2694</v>
      </c>
      <c r="U32" s="823" t="s">
        <v>1752</v>
      </c>
      <c r="V32" s="823" t="s">
        <v>2702</v>
      </c>
      <c r="W32" s="822" t="s">
        <v>2703</v>
      </c>
      <c r="X32" s="823" t="s">
        <v>1920</v>
      </c>
      <c r="Y32" s="823">
        <v>1000</v>
      </c>
      <c r="Z32" s="823">
        <v>1750</v>
      </c>
      <c r="AC32" s="824">
        <v>4</v>
      </c>
      <c r="AD32" s="842" t="s">
        <v>1223</v>
      </c>
      <c r="AE32" s="826"/>
      <c r="AF32" s="826"/>
      <c r="AG32" s="827"/>
      <c r="AH32" s="826"/>
      <c r="AI32" s="826"/>
      <c r="AJ32" s="843" t="s">
        <v>2808</v>
      </c>
      <c r="AM32" s="1692"/>
      <c r="AN32" s="1692"/>
      <c r="AO32" s="1692"/>
      <c r="AP32" s="1692"/>
      <c r="AQ32" s="1692"/>
      <c r="AR32" s="1692"/>
      <c r="AS32" s="1692"/>
      <c r="AT32" s="1692"/>
    </row>
    <row r="33" spans="2:46" ht="15.75" x14ac:dyDescent="0.25">
      <c r="B33" s="822" t="s">
        <v>2809</v>
      </c>
      <c r="C33" s="822"/>
      <c r="D33" s="1695">
        <v>500</v>
      </c>
      <c r="E33" s="1695"/>
      <c r="F33" s="1695">
        <v>600</v>
      </c>
      <c r="G33" s="1695"/>
      <c r="H33" s="814"/>
      <c r="I33" s="822" t="s">
        <v>2810</v>
      </c>
      <c r="J33" s="1696">
        <v>1800</v>
      </c>
      <c r="K33" s="1696"/>
      <c r="L33" s="1696">
        <v>3600</v>
      </c>
      <c r="M33" s="1696"/>
      <c r="N33" s="815"/>
      <c r="O33" s="822"/>
      <c r="P33" s="823">
        <v>5</v>
      </c>
      <c r="Q33" s="822" t="s">
        <v>2811</v>
      </c>
      <c r="R33" s="823">
        <v>50</v>
      </c>
      <c r="S33" s="823" t="s">
        <v>2707</v>
      </c>
      <c r="T33" s="823" t="s">
        <v>2684</v>
      </c>
      <c r="U33" s="823" t="s">
        <v>2773</v>
      </c>
      <c r="V33" s="823" t="s">
        <v>2745</v>
      </c>
      <c r="W33" s="822" t="s">
        <v>2687</v>
      </c>
      <c r="X33" s="823" t="s">
        <v>2688</v>
      </c>
      <c r="Y33" s="823">
        <v>750</v>
      </c>
      <c r="Z33" s="823">
        <v>1750</v>
      </c>
      <c r="AC33" s="831">
        <v>4</v>
      </c>
      <c r="AD33" s="844" t="s">
        <v>1226</v>
      </c>
      <c r="AG33" s="815"/>
      <c r="AJ33" s="845">
        <v>400</v>
      </c>
      <c r="AM33" s="1692"/>
      <c r="AN33" s="1692"/>
      <c r="AO33" s="1692"/>
      <c r="AP33" s="1692"/>
      <c r="AQ33" s="1692"/>
      <c r="AR33" s="1692"/>
      <c r="AS33" s="1692"/>
      <c r="AT33" s="1692"/>
    </row>
    <row r="34" spans="2:46" ht="15.75" x14ac:dyDescent="0.25">
      <c r="B34" s="822" t="s">
        <v>2812</v>
      </c>
      <c r="C34" s="822"/>
      <c r="D34" s="1695">
        <v>500</v>
      </c>
      <c r="E34" s="1695"/>
      <c r="F34" s="1695">
        <v>600</v>
      </c>
      <c r="G34" s="1695"/>
      <c r="H34" s="814"/>
      <c r="I34" s="822" t="s">
        <v>2813</v>
      </c>
      <c r="J34" s="1696">
        <v>1800</v>
      </c>
      <c r="K34" s="1696"/>
      <c r="L34" s="1696">
        <v>3600</v>
      </c>
      <c r="M34" s="1696"/>
      <c r="N34" s="815"/>
      <c r="O34" s="848"/>
      <c r="P34" s="823">
        <v>5</v>
      </c>
      <c r="Q34" s="1417" t="s">
        <v>2814</v>
      </c>
      <c r="R34" s="1418">
        <v>50</v>
      </c>
      <c r="S34" s="1418" t="s">
        <v>2815</v>
      </c>
      <c r="T34" s="1418" t="s">
        <v>2684</v>
      </c>
      <c r="U34" s="1418" t="s">
        <v>2773</v>
      </c>
      <c r="V34" s="1418" t="s">
        <v>2816</v>
      </c>
      <c r="W34" s="1417" t="s">
        <v>2687</v>
      </c>
      <c r="X34" s="1418" t="s">
        <v>2688</v>
      </c>
      <c r="Y34" s="1418">
        <v>1050</v>
      </c>
      <c r="Z34" s="1418">
        <v>2350</v>
      </c>
      <c r="AC34" s="831">
        <v>4</v>
      </c>
      <c r="AD34" s="834" t="s">
        <v>2817</v>
      </c>
      <c r="AG34" s="815"/>
      <c r="AJ34" s="831">
        <v>400</v>
      </c>
    </row>
    <row r="35" spans="2:46" ht="15.75" x14ac:dyDescent="0.25">
      <c r="B35" s="822" t="s">
        <v>2818</v>
      </c>
      <c r="C35" s="822"/>
      <c r="D35" s="1695">
        <v>500</v>
      </c>
      <c r="E35" s="1695"/>
      <c r="F35" s="1695">
        <v>600</v>
      </c>
      <c r="G35" s="1695"/>
      <c r="H35" s="814"/>
      <c r="I35" s="822" t="s">
        <v>2819</v>
      </c>
      <c r="J35" s="1696">
        <v>1800</v>
      </c>
      <c r="K35" s="1696"/>
      <c r="L35" s="1696">
        <v>3600</v>
      </c>
      <c r="M35" s="1696"/>
      <c r="N35" s="815"/>
      <c r="P35" s="823">
        <v>5</v>
      </c>
      <c r="Q35" s="822" t="s">
        <v>2820</v>
      </c>
      <c r="R35" s="823">
        <v>50</v>
      </c>
      <c r="S35" s="823" t="s">
        <v>2693</v>
      </c>
      <c r="T35" s="823" t="s">
        <v>2738</v>
      </c>
      <c r="U35" s="823" t="s">
        <v>2773</v>
      </c>
      <c r="V35" s="823" t="s">
        <v>2683</v>
      </c>
      <c r="W35" s="822" t="s">
        <v>2687</v>
      </c>
      <c r="X35" s="823" t="s">
        <v>2688</v>
      </c>
      <c r="Y35" s="823">
        <v>1050</v>
      </c>
      <c r="Z35" s="823">
        <v>2350</v>
      </c>
      <c r="AC35" s="831">
        <v>4</v>
      </c>
      <c r="AD35" s="844" t="s">
        <v>1230</v>
      </c>
      <c r="AG35" s="815"/>
      <c r="AJ35" s="849">
        <v>5000</v>
      </c>
    </row>
    <row r="36" spans="2:46" ht="15.75" x14ac:dyDescent="0.25">
      <c r="B36" s="850"/>
      <c r="C36" s="850"/>
      <c r="D36" s="1689"/>
      <c r="E36" s="1689"/>
      <c r="F36" s="1689"/>
      <c r="G36" s="1689"/>
      <c r="H36" s="814"/>
      <c r="I36" s="814"/>
      <c r="J36" s="1690"/>
      <c r="K36" s="1690"/>
      <c r="L36" s="1690"/>
      <c r="M36" s="1690"/>
      <c r="N36" s="815"/>
      <c r="P36" s="823">
        <v>5</v>
      </c>
      <c r="Q36" s="822" t="s">
        <v>2821</v>
      </c>
      <c r="R36" s="823">
        <v>50</v>
      </c>
      <c r="S36" s="823" t="s">
        <v>2693</v>
      </c>
      <c r="T36" s="823" t="s">
        <v>2684</v>
      </c>
      <c r="U36" s="823" t="s">
        <v>2773</v>
      </c>
      <c r="V36" s="823" t="s">
        <v>2745</v>
      </c>
      <c r="W36" s="822" t="s">
        <v>2687</v>
      </c>
      <c r="X36" s="823" t="s">
        <v>76</v>
      </c>
      <c r="Y36" s="823">
        <v>750</v>
      </c>
      <c r="Z36" s="823">
        <v>1750</v>
      </c>
      <c r="AC36" s="831">
        <v>5</v>
      </c>
      <c r="AD36" s="844" t="s">
        <v>2822</v>
      </c>
      <c r="AG36" s="815"/>
      <c r="AJ36" s="849">
        <v>5000</v>
      </c>
    </row>
    <row r="37" spans="2:46" ht="15" customHeight="1" x14ac:dyDescent="0.2">
      <c r="B37" s="1691" t="s">
        <v>2823</v>
      </c>
      <c r="C37" s="1691"/>
      <c r="D37" s="1692"/>
      <c r="E37" s="1692"/>
      <c r="F37" s="1692"/>
      <c r="G37" s="1692"/>
      <c r="H37" s="1692"/>
      <c r="I37" s="1692"/>
      <c r="J37" s="1692"/>
      <c r="K37" s="1692"/>
      <c r="L37" s="822"/>
      <c r="M37" s="822"/>
      <c r="N37" s="822"/>
      <c r="P37" s="823">
        <v>6</v>
      </c>
      <c r="Q37" s="822" t="s">
        <v>2824</v>
      </c>
      <c r="R37" s="823">
        <v>60</v>
      </c>
      <c r="S37" s="823" t="s">
        <v>2825</v>
      </c>
      <c r="T37" s="823" t="s">
        <v>2768</v>
      </c>
      <c r="U37" s="823" t="s">
        <v>2826</v>
      </c>
      <c r="V37" s="823" t="s">
        <v>2686</v>
      </c>
      <c r="W37" s="822" t="s">
        <v>2687</v>
      </c>
      <c r="X37" s="823" t="s">
        <v>2688</v>
      </c>
      <c r="Y37" s="823">
        <v>2760</v>
      </c>
      <c r="Z37" s="823">
        <v>5820</v>
      </c>
      <c r="AC37" s="824">
        <v>5</v>
      </c>
      <c r="AD37" s="838" t="s">
        <v>2827</v>
      </c>
      <c r="AE37" s="826"/>
      <c r="AF37" s="826"/>
      <c r="AG37" s="827"/>
      <c r="AH37" s="826"/>
      <c r="AI37" s="826"/>
      <c r="AJ37" s="839">
        <v>500</v>
      </c>
    </row>
    <row r="38" spans="2:46" ht="15" customHeight="1" x14ac:dyDescent="0.25">
      <c r="B38" s="1692"/>
      <c r="C38" s="1692"/>
      <c r="D38" s="1692"/>
      <c r="E38" s="1692"/>
      <c r="F38" s="1692"/>
      <c r="G38" s="1692"/>
      <c r="H38" s="1692"/>
      <c r="I38" s="1692"/>
      <c r="J38" s="1692"/>
      <c r="K38" s="1692"/>
      <c r="L38" s="814"/>
      <c r="M38" s="814"/>
      <c r="N38" s="814"/>
      <c r="P38" s="823">
        <v>6</v>
      </c>
      <c r="Q38" s="822" t="s">
        <v>2828</v>
      </c>
      <c r="R38" s="823">
        <v>10</v>
      </c>
      <c r="S38" s="823" t="s">
        <v>2579</v>
      </c>
      <c r="T38" s="823" t="s">
        <v>2829</v>
      </c>
      <c r="U38" s="823" t="s">
        <v>2701</v>
      </c>
      <c r="V38" s="823" t="s">
        <v>2830</v>
      </c>
      <c r="W38" s="822" t="s">
        <v>2703</v>
      </c>
      <c r="X38" s="823" t="s">
        <v>1920</v>
      </c>
      <c r="Y38" s="823">
        <v>4060</v>
      </c>
      <c r="Z38" s="823">
        <v>6390</v>
      </c>
      <c r="AC38" s="824">
        <v>5</v>
      </c>
      <c r="AD38" s="829" t="s">
        <v>1215</v>
      </c>
      <c r="AE38" s="826"/>
      <c r="AF38" s="826"/>
      <c r="AG38" s="827"/>
      <c r="AH38" s="826"/>
      <c r="AI38" s="826"/>
      <c r="AJ38" s="830" t="s">
        <v>1920</v>
      </c>
    </row>
    <row r="39" spans="2:46" ht="15" customHeight="1" x14ac:dyDescent="0.2">
      <c r="B39" s="1693" t="s">
        <v>2831</v>
      </c>
      <c r="C39" s="1693"/>
      <c r="D39" s="1694"/>
      <c r="E39" s="1694"/>
      <c r="F39" s="1694"/>
      <c r="G39" s="1694"/>
      <c r="H39" s="1694"/>
      <c r="I39" s="1694"/>
      <c r="J39" s="1694"/>
      <c r="K39" s="1694"/>
      <c r="L39" s="1694"/>
      <c r="M39" s="851"/>
      <c r="N39" s="851"/>
      <c r="P39" s="823">
        <v>6</v>
      </c>
      <c r="Q39" s="822" t="s">
        <v>2832</v>
      </c>
      <c r="R39" s="823">
        <v>60</v>
      </c>
      <c r="S39" s="823" t="s">
        <v>2707</v>
      </c>
      <c r="T39" s="823" t="s">
        <v>2684</v>
      </c>
      <c r="U39" s="823" t="s">
        <v>2826</v>
      </c>
      <c r="V39" s="823" t="s">
        <v>2745</v>
      </c>
      <c r="W39" s="822" t="s">
        <v>2703</v>
      </c>
      <c r="X39" s="823" t="s">
        <v>2778</v>
      </c>
      <c r="Y39" s="823">
        <v>860</v>
      </c>
      <c r="Z39" s="823">
        <v>1590</v>
      </c>
      <c r="AC39" s="824">
        <v>5</v>
      </c>
      <c r="AD39" s="842" t="s">
        <v>1218</v>
      </c>
      <c r="AE39" s="826"/>
      <c r="AF39" s="826"/>
      <c r="AG39" s="827"/>
      <c r="AH39" s="826"/>
      <c r="AI39" s="826"/>
      <c r="AJ39" s="843">
        <v>5000</v>
      </c>
    </row>
    <row r="40" spans="2:46" ht="15" customHeight="1" x14ac:dyDescent="0.2">
      <c r="B40" s="1694"/>
      <c r="C40" s="1694"/>
      <c r="D40" s="1694"/>
      <c r="E40" s="1694"/>
      <c r="F40" s="1694"/>
      <c r="G40" s="1694"/>
      <c r="H40" s="1694"/>
      <c r="I40" s="1694"/>
      <c r="J40" s="1694"/>
      <c r="K40" s="1694"/>
      <c r="L40" s="1694"/>
      <c r="M40" s="828"/>
      <c r="N40" s="828"/>
      <c r="P40" s="823">
        <v>6</v>
      </c>
      <c r="Q40" s="822" t="s">
        <v>2833</v>
      </c>
      <c r="R40" s="823">
        <v>60</v>
      </c>
      <c r="S40" s="823" t="s">
        <v>2693</v>
      </c>
      <c r="T40" s="823" t="s">
        <v>2738</v>
      </c>
      <c r="U40" s="823" t="s">
        <v>2826</v>
      </c>
      <c r="V40" s="823" t="s">
        <v>2683</v>
      </c>
      <c r="W40" s="822" t="s">
        <v>2687</v>
      </c>
      <c r="X40" s="823" t="s">
        <v>2688</v>
      </c>
      <c r="Y40" s="823">
        <v>1160</v>
      </c>
      <c r="Z40" s="823">
        <v>2620</v>
      </c>
      <c r="AC40" s="824">
        <v>5</v>
      </c>
      <c r="AD40" s="825" t="s">
        <v>2834</v>
      </c>
      <c r="AE40" s="826"/>
      <c r="AF40" s="826"/>
      <c r="AG40" s="827"/>
      <c r="AH40" s="826"/>
      <c r="AI40" s="826"/>
      <c r="AJ40" s="824">
        <v>5000</v>
      </c>
    </row>
    <row r="41" spans="2:46" ht="15" customHeight="1" x14ac:dyDescent="0.2">
      <c r="B41" s="1694"/>
      <c r="C41" s="1694"/>
      <c r="D41" s="1694"/>
      <c r="E41" s="1694"/>
      <c r="F41" s="1694"/>
      <c r="G41" s="1694"/>
      <c r="H41" s="1694"/>
      <c r="I41" s="1694"/>
      <c r="J41" s="1694"/>
      <c r="K41" s="1694"/>
      <c r="L41" s="1694"/>
      <c r="M41" s="828"/>
      <c r="N41" s="828"/>
      <c r="P41" s="823">
        <v>6</v>
      </c>
      <c r="Q41" s="822" t="s">
        <v>2835</v>
      </c>
      <c r="R41" s="823">
        <v>50</v>
      </c>
      <c r="S41" s="823" t="s">
        <v>2737</v>
      </c>
      <c r="T41" s="823" t="s">
        <v>2829</v>
      </c>
      <c r="U41" s="823" t="s">
        <v>2773</v>
      </c>
      <c r="V41" s="823" t="s">
        <v>2702</v>
      </c>
      <c r="W41" s="822" t="s">
        <v>2703</v>
      </c>
      <c r="X41" s="823" t="s">
        <v>1920</v>
      </c>
      <c r="Y41" s="823">
        <v>2300</v>
      </c>
      <c r="Z41" s="823">
        <v>3750</v>
      </c>
      <c r="AC41" s="831">
        <v>5</v>
      </c>
      <c r="AD41" s="832" t="s">
        <v>1224</v>
      </c>
      <c r="AG41" s="815"/>
      <c r="AJ41" s="833" t="s">
        <v>2836</v>
      </c>
    </row>
    <row r="42" spans="2:46" ht="15" customHeight="1" x14ac:dyDescent="0.2">
      <c r="B42" s="828"/>
      <c r="C42" s="828"/>
      <c r="D42" s="828"/>
      <c r="E42" s="828"/>
      <c r="F42" s="828"/>
      <c r="G42" s="828"/>
      <c r="H42" s="828"/>
      <c r="I42" s="828"/>
      <c r="J42" s="828"/>
      <c r="K42" s="828"/>
      <c r="L42" s="828"/>
      <c r="M42" s="828"/>
      <c r="N42" s="828"/>
      <c r="P42" s="823">
        <v>6</v>
      </c>
      <c r="Q42" s="1417" t="s">
        <v>2837</v>
      </c>
      <c r="R42" s="1418">
        <v>60</v>
      </c>
      <c r="S42" s="1418" t="s">
        <v>2707</v>
      </c>
      <c r="T42" s="1418" t="s">
        <v>2684</v>
      </c>
      <c r="U42" s="1418" t="s">
        <v>2826</v>
      </c>
      <c r="V42" s="1418" t="s">
        <v>2686</v>
      </c>
      <c r="W42" s="1417" t="s">
        <v>2687</v>
      </c>
      <c r="X42" s="1418" t="s">
        <v>2688</v>
      </c>
      <c r="Y42" s="1418">
        <v>1360</v>
      </c>
      <c r="Z42" s="1418">
        <v>3020</v>
      </c>
      <c r="AC42" s="831">
        <v>5</v>
      </c>
      <c r="AD42" s="834" t="s">
        <v>2838</v>
      </c>
      <c r="AG42" s="815"/>
      <c r="AJ42" s="831">
        <v>8000</v>
      </c>
    </row>
    <row r="43" spans="2:46" ht="15" customHeight="1" x14ac:dyDescent="0.2">
      <c r="P43" s="823">
        <v>6</v>
      </c>
      <c r="Q43" s="822" t="s">
        <v>2839</v>
      </c>
      <c r="R43" s="823">
        <v>20</v>
      </c>
      <c r="S43" s="823" t="s">
        <v>2727</v>
      </c>
      <c r="T43" s="823" t="s">
        <v>2829</v>
      </c>
      <c r="U43" s="823" t="s">
        <v>2685</v>
      </c>
      <c r="V43" s="823" t="s">
        <v>2702</v>
      </c>
      <c r="W43" s="822" t="s">
        <v>2687</v>
      </c>
      <c r="X43" s="823" t="s">
        <v>2688</v>
      </c>
      <c r="Y43" s="823">
        <v>2120</v>
      </c>
      <c r="Z43" s="823">
        <v>4540</v>
      </c>
      <c r="AC43" s="831"/>
      <c r="AD43" s="831"/>
      <c r="AE43" s="1685"/>
      <c r="AF43" s="1685"/>
      <c r="AG43" s="815"/>
    </row>
    <row r="44" spans="2:46" ht="15" customHeight="1" x14ac:dyDescent="0.2">
      <c r="AC44" s="831"/>
      <c r="AD44" s="831"/>
      <c r="AE44" s="1685"/>
      <c r="AF44" s="1685"/>
      <c r="AG44" s="815"/>
    </row>
    <row r="45" spans="2:46" ht="15" customHeight="1" x14ac:dyDescent="0.2">
      <c r="AC45" s="831"/>
      <c r="AD45" s="831"/>
      <c r="AE45" s="836"/>
      <c r="AF45" s="836"/>
      <c r="AG45" s="815"/>
    </row>
    <row r="46" spans="2:46" ht="24.95" customHeight="1" x14ac:dyDescent="0.2">
      <c r="B46" s="852" t="s">
        <v>2840</v>
      </c>
      <c r="C46" s="853"/>
      <c r="D46" s="853"/>
      <c r="E46" s="853"/>
      <c r="F46" s="853"/>
      <c r="G46" s="853"/>
      <c r="H46" s="853"/>
      <c r="I46" s="853"/>
      <c r="J46" s="853"/>
      <c r="K46" s="853"/>
      <c r="L46" s="853"/>
      <c r="P46" s="854"/>
      <c r="Q46" s="854"/>
      <c r="R46" s="855" t="s">
        <v>2841</v>
      </c>
      <c r="S46" s="854"/>
      <c r="T46" s="854"/>
      <c r="U46" s="854"/>
      <c r="V46" s="854"/>
      <c r="W46" s="854"/>
      <c r="X46" s="854"/>
      <c r="Y46" s="854"/>
      <c r="Z46" s="854"/>
      <c r="AB46" s="808"/>
      <c r="AC46" s="808"/>
      <c r="AD46" s="856" t="s">
        <v>2842</v>
      </c>
      <c r="AE46" s="857"/>
      <c r="AF46" s="857"/>
      <c r="AG46" s="858"/>
      <c r="AH46" s="859"/>
      <c r="AI46" s="808"/>
      <c r="AJ46" s="808"/>
      <c r="AK46" s="808"/>
    </row>
    <row r="47" spans="2:46" ht="18" x14ac:dyDescent="0.2">
      <c r="P47" s="860"/>
    </row>
    <row r="48" spans="2:46" ht="15" customHeight="1" x14ac:dyDescent="0.2">
      <c r="B48" s="1686" t="s">
        <v>2843</v>
      </c>
      <c r="C48" s="1552"/>
      <c r="D48" s="1687" t="s">
        <v>2653</v>
      </c>
      <c r="E48" s="1552"/>
      <c r="F48" s="1687" t="s">
        <v>2654</v>
      </c>
      <c r="G48" s="1688"/>
      <c r="I48" s="812" t="s">
        <v>2843</v>
      </c>
      <c r="J48" s="1687" t="s">
        <v>2653</v>
      </c>
      <c r="K48" s="1552"/>
      <c r="L48" s="1687" t="s">
        <v>2654</v>
      </c>
      <c r="M48" s="1552"/>
      <c r="P48" s="813" t="s">
        <v>1796</v>
      </c>
      <c r="Q48" s="812" t="s">
        <v>1795</v>
      </c>
      <c r="R48" s="813" t="s">
        <v>2670</v>
      </c>
      <c r="S48" s="813" t="s">
        <v>2671</v>
      </c>
      <c r="T48" s="813" t="s">
        <v>2672</v>
      </c>
      <c r="U48" s="813" t="s">
        <v>2673</v>
      </c>
      <c r="V48" s="813" t="s">
        <v>2674</v>
      </c>
      <c r="W48" s="812" t="s">
        <v>2675</v>
      </c>
      <c r="X48" s="813" t="s">
        <v>2676</v>
      </c>
      <c r="Y48" s="813" t="s">
        <v>2677</v>
      </c>
      <c r="Z48" s="813" t="s">
        <v>2678</v>
      </c>
      <c r="AC48" s="816" t="s">
        <v>123</v>
      </c>
      <c r="AD48" s="817" t="s">
        <v>2656</v>
      </c>
      <c r="AE48" s="818"/>
      <c r="AF48" s="818"/>
      <c r="AG48" s="819"/>
      <c r="AH48" s="818"/>
      <c r="AI48" s="818"/>
      <c r="AJ48" s="861" t="s">
        <v>2657</v>
      </c>
    </row>
    <row r="49" spans="2:36" ht="15" customHeight="1" x14ac:dyDescent="0.2">
      <c r="B49" s="822" t="s">
        <v>2844</v>
      </c>
      <c r="D49" s="823">
        <v>20</v>
      </c>
      <c r="F49" s="823">
        <v>25</v>
      </c>
      <c r="G49" s="823"/>
      <c r="I49" s="822" t="s">
        <v>2845</v>
      </c>
      <c r="J49" s="823">
        <v>50</v>
      </c>
      <c r="L49" s="823">
        <v>120</v>
      </c>
      <c r="P49" s="823">
        <v>7</v>
      </c>
      <c r="Q49" s="1417" t="s">
        <v>2846</v>
      </c>
      <c r="R49" s="1418">
        <v>40</v>
      </c>
      <c r="S49" s="1418" t="s">
        <v>2693</v>
      </c>
      <c r="T49" s="1418" t="s">
        <v>2829</v>
      </c>
      <c r="U49" s="1418" t="s">
        <v>1752</v>
      </c>
      <c r="V49" s="1418" t="s">
        <v>2702</v>
      </c>
      <c r="W49" s="1417" t="s">
        <v>2687</v>
      </c>
      <c r="X49" s="1418" t="s">
        <v>76</v>
      </c>
      <c r="Y49" s="1418">
        <v>3980</v>
      </c>
      <c r="Z49" s="1418">
        <v>8310</v>
      </c>
      <c r="AC49" s="824">
        <v>5</v>
      </c>
      <c r="AD49" s="829" t="s">
        <v>2847</v>
      </c>
      <c r="AE49" s="826"/>
      <c r="AF49" s="826"/>
      <c r="AG49" s="827"/>
      <c r="AH49" s="826"/>
      <c r="AI49" s="826"/>
      <c r="AJ49" s="830">
        <v>6000</v>
      </c>
    </row>
    <row r="50" spans="2:36" ht="15" customHeight="1" x14ac:dyDescent="0.2">
      <c r="B50" s="822" t="s">
        <v>2848</v>
      </c>
      <c r="D50" s="823">
        <v>20</v>
      </c>
      <c r="F50" s="823">
        <v>25</v>
      </c>
      <c r="G50" s="823"/>
      <c r="I50" s="822" t="s">
        <v>2849</v>
      </c>
      <c r="J50" s="823">
        <v>50</v>
      </c>
      <c r="L50" s="823">
        <v>120</v>
      </c>
      <c r="P50" s="823">
        <v>7</v>
      </c>
      <c r="Q50" s="1417" t="s">
        <v>2850</v>
      </c>
      <c r="R50" s="1418">
        <v>60</v>
      </c>
      <c r="S50" s="1418" t="s">
        <v>2586</v>
      </c>
      <c r="T50" s="1418" t="s">
        <v>2768</v>
      </c>
      <c r="U50" s="1418" t="s">
        <v>2826</v>
      </c>
      <c r="V50" s="1418" t="s">
        <v>2586</v>
      </c>
      <c r="W50" s="1417" t="s">
        <v>2687</v>
      </c>
      <c r="X50" s="1418" t="s">
        <v>2688</v>
      </c>
      <c r="Y50" s="1418">
        <v>4320</v>
      </c>
      <c r="Z50" s="1418">
        <v>8990</v>
      </c>
      <c r="AC50" s="824">
        <v>6</v>
      </c>
      <c r="AD50" s="825" t="s">
        <v>2851</v>
      </c>
      <c r="AE50" s="826"/>
      <c r="AF50" s="826"/>
      <c r="AG50" s="827"/>
      <c r="AH50" s="826"/>
      <c r="AI50" s="826"/>
      <c r="AJ50" s="824">
        <v>6000</v>
      </c>
    </row>
    <row r="51" spans="2:36" ht="15" customHeight="1" x14ac:dyDescent="0.2">
      <c r="B51" s="822" t="s">
        <v>2852</v>
      </c>
      <c r="D51" s="823">
        <v>40</v>
      </c>
      <c r="F51" s="823">
        <v>80</v>
      </c>
      <c r="G51" s="823"/>
      <c r="I51" s="822" t="s">
        <v>2853</v>
      </c>
      <c r="J51" s="823">
        <v>250</v>
      </c>
      <c r="L51" s="823">
        <v>350</v>
      </c>
      <c r="P51" s="823">
        <v>7</v>
      </c>
      <c r="Q51" s="822" t="s">
        <v>2854</v>
      </c>
      <c r="R51" s="823">
        <v>70</v>
      </c>
      <c r="S51" s="823" t="s">
        <v>2732</v>
      </c>
      <c r="T51" s="823" t="s">
        <v>2694</v>
      </c>
      <c r="U51" s="823" t="s">
        <v>2855</v>
      </c>
      <c r="V51" s="823" t="s">
        <v>2856</v>
      </c>
      <c r="W51" s="822" t="s">
        <v>2687</v>
      </c>
      <c r="X51" s="823" t="s">
        <v>2688</v>
      </c>
      <c r="Y51" s="823">
        <v>1090</v>
      </c>
      <c r="Z51" s="823">
        <v>2530</v>
      </c>
      <c r="AC51" s="824">
        <v>6</v>
      </c>
      <c r="AD51" s="840" t="s">
        <v>2857</v>
      </c>
      <c r="AE51" s="826"/>
      <c r="AF51" s="826"/>
      <c r="AG51" s="827"/>
      <c r="AH51" s="826"/>
      <c r="AI51" s="826"/>
      <c r="AJ51" s="841">
        <v>6000</v>
      </c>
    </row>
    <row r="52" spans="2:36" ht="15" customHeight="1" x14ac:dyDescent="0.2">
      <c r="B52" s="822" t="s">
        <v>2858</v>
      </c>
      <c r="D52" s="823">
        <v>100</v>
      </c>
      <c r="F52" s="823">
        <v>120</v>
      </c>
      <c r="G52" s="823"/>
      <c r="I52" s="822" t="s">
        <v>2859</v>
      </c>
      <c r="J52" s="823">
        <v>50</v>
      </c>
      <c r="L52" s="823">
        <v>120</v>
      </c>
      <c r="P52" s="823">
        <v>7</v>
      </c>
      <c r="Q52" s="1417" t="s">
        <v>2860</v>
      </c>
      <c r="R52" s="1418">
        <v>40</v>
      </c>
      <c r="S52" s="1418" t="s">
        <v>2707</v>
      </c>
      <c r="T52" s="1418" t="s">
        <v>2829</v>
      </c>
      <c r="U52" s="1418" t="s">
        <v>1752</v>
      </c>
      <c r="V52" s="1418" t="s">
        <v>2686</v>
      </c>
      <c r="W52" s="1417" t="s">
        <v>2687</v>
      </c>
      <c r="X52" s="1418" t="s">
        <v>2688</v>
      </c>
      <c r="Y52" s="1418">
        <v>4980</v>
      </c>
      <c r="Z52" s="1418">
        <v>10310</v>
      </c>
      <c r="AC52" s="824">
        <v>6</v>
      </c>
      <c r="AD52" s="838" t="s">
        <v>2861</v>
      </c>
      <c r="AE52" s="826"/>
      <c r="AF52" s="826"/>
      <c r="AG52" s="827"/>
      <c r="AH52" s="826"/>
      <c r="AI52" s="826"/>
      <c r="AJ52" s="839">
        <v>10</v>
      </c>
    </row>
    <row r="53" spans="2:36" ht="15" customHeight="1" x14ac:dyDescent="0.2">
      <c r="B53" s="822" t="s">
        <v>2862</v>
      </c>
      <c r="D53" s="823">
        <v>20</v>
      </c>
      <c r="F53" s="823">
        <v>25</v>
      </c>
      <c r="G53" s="823"/>
      <c r="I53" s="822" t="s">
        <v>2863</v>
      </c>
      <c r="J53" s="823">
        <v>50</v>
      </c>
      <c r="L53" s="823">
        <v>120</v>
      </c>
      <c r="P53" s="823">
        <v>7</v>
      </c>
      <c r="Q53" s="822" t="s">
        <v>2864</v>
      </c>
      <c r="R53" s="823">
        <v>80</v>
      </c>
      <c r="S53" s="823" t="s">
        <v>2727</v>
      </c>
      <c r="T53" s="823" t="s">
        <v>2694</v>
      </c>
      <c r="U53" s="823" t="s">
        <v>2855</v>
      </c>
      <c r="V53" s="823" t="s">
        <v>2702</v>
      </c>
      <c r="W53" s="822" t="s">
        <v>2687</v>
      </c>
      <c r="X53" s="823" t="s">
        <v>2688</v>
      </c>
      <c r="Y53" s="823">
        <v>960</v>
      </c>
      <c r="Z53" s="823">
        <v>2270</v>
      </c>
      <c r="AC53" s="831">
        <v>6</v>
      </c>
      <c r="AD53" s="832" t="s">
        <v>2865</v>
      </c>
      <c r="AG53" s="815"/>
      <c r="AJ53" s="862">
        <v>7000</v>
      </c>
    </row>
    <row r="54" spans="2:36" ht="15" customHeight="1" x14ac:dyDescent="0.2">
      <c r="B54" s="822" t="s">
        <v>2866</v>
      </c>
      <c r="D54" s="823">
        <v>20</v>
      </c>
      <c r="F54" s="823">
        <v>25</v>
      </c>
      <c r="G54" s="823"/>
      <c r="I54" s="822" t="s">
        <v>2867</v>
      </c>
      <c r="J54" s="823">
        <v>50</v>
      </c>
      <c r="L54" s="823">
        <v>175</v>
      </c>
      <c r="P54" s="823">
        <v>7</v>
      </c>
      <c r="Q54" s="822" t="s">
        <v>2868</v>
      </c>
      <c r="R54" s="823">
        <v>60</v>
      </c>
      <c r="S54" s="823" t="s">
        <v>2869</v>
      </c>
      <c r="T54" s="823" t="s">
        <v>2738</v>
      </c>
      <c r="U54" s="823" t="s">
        <v>2826</v>
      </c>
      <c r="V54" s="823" t="s">
        <v>2745</v>
      </c>
      <c r="W54" s="822" t="s">
        <v>2687</v>
      </c>
      <c r="X54" s="823" t="s">
        <v>2688</v>
      </c>
      <c r="Y54" s="823">
        <v>2020</v>
      </c>
      <c r="Z54" s="823">
        <v>4390</v>
      </c>
      <c r="AC54" s="831">
        <v>6</v>
      </c>
      <c r="AD54" s="844" t="s">
        <v>2870</v>
      </c>
      <c r="AG54" s="815"/>
      <c r="AJ54" s="845">
        <v>6000</v>
      </c>
    </row>
    <row r="55" spans="2:36" ht="15" customHeight="1" x14ac:dyDescent="0.2">
      <c r="B55" s="822" t="s">
        <v>2871</v>
      </c>
      <c r="D55" s="823">
        <v>20</v>
      </c>
      <c r="F55" s="823">
        <v>25</v>
      </c>
      <c r="G55" s="823"/>
      <c r="I55" s="822" t="s">
        <v>2872</v>
      </c>
      <c r="J55" s="823">
        <v>50</v>
      </c>
      <c r="L55" s="823">
        <v>120</v>
      </c>
      <c r="P55" s="823">
        <v>8</v>
      </c>
      <c r="Q55" s="822" t="s">
        <v>2873</v>
      </c>
      <c r="R55" s="823">
        <v>60</v>
      </c>
      <c r="S55" s="823" t="s">
        <v>2693</v>
      </c>
      <c r="T55" s="823" t="s">
        <v>2768</v>
      </c>
      <c r="U55" s="823" t="s">
        <v>2826</v>
      </c>
      <c r="V55" s="823" t="s">
        <v>2739</v>
      </c>
      <c r="W55" s="822" t="s">
        <v>2703</v>
      </c>
      <c r="X55" s="823" t="s">
        <v>1920</v>
      </c>
      <c r="Y55" s="823">
        <v>2080</v>
      </c>
      <c r="Z55" s="823">
        <v>3520</v>
      </c>
      <c r="AC55" s="831">
        <v>6</v>
      </c>
      <c r="AD55" s="844" t="s">
        <v>1225</v>
      </c>
      <c r="AG55" s="815"/>
      <c r="AJ55" s="845">
        <v>5000</v>
      </c>
    </row>
    <row r="56" spans="2:36" ht="15" customHeight="1" x14ac:dyDescent="0.2">
      <c r="B56" s="822" t="s">
        <v>2874</v>
      </c>
      <c r="D56" s="823">
        <v>20</v>
      </c>
      <c r="F56" s="823">
        <v>50</v>
      </c>
      <c r="G56" s="823"/>
      <c r="I56" s="822" t="s">
        <v>2875</v>
      </c>
      <c r="J56" s="823">
        <v>60</v>
      </c>
      <c r="L56" s="823">
        <v>200</v>
      </c>
      <c r="P56" s="823">
        <v>8</v>
      </c>
      <c r="Q56" s="1417" t="s">
        <v>2876</v>
      </c>
      <c r="R56" s="1418">
        <v>60</v>
      </c>
      <c r="S56" s="1418" t="s">
        <v>2825</v>
      </c>
      <c r="T56" s="1418" t="s">
        <v>2829</v>
      </c>
      <c r="U56" s="1418" t="s">
        <v>2826</v>
      </c>
      <c r="V56" s="1418" t="s">
        <v>2702</v>
      </c>
      <c r="W56" s="1417" t="s">
        <v>2687</v>
      </c>
      <c r="X56" s="1418" t="s">
        <v>2688</v>
      </c>
      <c r="Y56" s="1418">
        <v>3280</v>
      </c>
      <c r="Z56" s="1418">
        <v>6960</v>
      </c>
      <c r="AC56" s="831">
        <v>7</v>
      </c>
      <c r="AD56" s="832" t="s">
        <v>1231</v>
      </c>
      <c r="AG56" s="815"/>
      <c r="AJ56" s="833" t="s">
        <v>2877</v>
      </c>
    </row>
    <row r="57" spans="2:36" ht="15" customHeight="1" x14ac:dyDescent="0.2">
      <c r="B57" s="822" t="s">
        <v>2878</v>
      </c>
      <c r="D57" s="823">
        <v>20</v>
      </c>
      <c r="F57" s="823">
        <v>50</v>
      </c>
      <c r="G57" s="823"/>
      <c r="I57" s="822" t="s">
        <v>2879</v>
      </c>
      <c r="J57" s="823">
        <v>60</v>
      </c>
      <c r="L57" s="823">
        <v>200</v>
      </c>
      <c r="P57" s="823">
        <v>8</v>
      </c>
      <c r="Q57" s="863" t="s">
        <v>2880</v>
      </c>
      <c r="R57" s="864">
        <v>70</v>
      </c>
      <c r="S57" s="864" t="s">
        <v>2881</v>
      </c>
      <c r="T57" s="864" t="s">
        <v>2738</v>
      </c>
      <c r="U57" s="864" t="s">
        <v>2855</v>
      </c>
      <c r="V57" s="864" t="s">
        <v>2686</v>
      </c>
      <c r="W57" s="863" t="s">
        <v>2687</v>
      </c>
      <c r="X57" s="864" t="s">
        <v>2688</v>
      </c>
      <c r="Y57" s="864">
        <v>2560</v>
      </c>
      <c r="Z57" s="864">
        <v>5520</v>
      </c>
      <c r="AC57" s="824">
        <v>7</v>
      </c>
      <c r="AD57" s="842" t="s">
        <v>2882</v>
      </c>
      <c r="AE57" s="826"/>
      <c r="AF57" s="826"/>
      <c r="AG57" s="827"/>
      <c r="AH57" s="826"/>
      <c r="AI57" s="826"/>
      <c r="AJ57" s="843">
        <v>700</v>
      </c>
    </row>
    <row r="58" spans="2:36" ht="15" customHeight="1" x14ac:dyDescent="0.2">
      <c r="B58" s="822" t="s">
        <v>2883</v>
      </c>
      <c r="D58" s="823">
        <v>20</v>
      </c>
      <c r="F58" s="823">
        <v>50</v>
      </c>
      <c r="G58" s="823"/>
      <c r="I58" s="822" t="s">
        <v>2884</v>
      </c>
      <c r="J58" s="823">
        <v>60</v>
      </c>
      <c r="L58" s="823">
        <v>200</v>
      </c>
      <c r="P58" s="823">
        <v>8</v>
      </c>
      <c r="Q58" s="1417" t="s">
        <v>2885</v>
      </c>
      <c r="R58" s="1418">
        <v>60</v>
      </c>
      <c r="S58" s="1418" t="s">
        <v>2575</v>
      </c>
      <c r="T58" s="1418" t="s">
        <v>2829</v>
      </c>
      <c r="U58" s="1418" t="s">
        <v>2826</v>
      </c>
      <c r="V58" s="1418" t="s">
        <v>2702</v>
      </c>
      <c r="W58" s="1417" t="s">
        <v>2687</v>
      </c>
      <c r="X58" s="1418" t="s">
        <v>76</v>
      </c>
      <c r="Y58" s="1418">
        <v>5280</v>
      </c>
      <c r="Z58" s="1418">
        <v>10960</v>
      </c>
      <c r="AC58" s="824">
        <v>7</v>
      </c>
      <c r="AD58" s="838" t="s">
        <v>2886</v>
      </c>
      <c r="AE58" s="826"/>
      <c r="AF58" s="826"/>
      <c r="AG58" s="827"/>
      <c r="AH58" s="826"/>
      <c r="AI58" s="826"/>
      <c r="AJ58" s="839">
        <v>700</v>
      </c>
    </row>
    <row r="59" spans="2:36" ht="15" customHeight="1" x14ac:dyDescent="0.2">
      <c r="B59" s="822" t="s">
        <v>2887</v>
      </c>
      <c r="D59" s="823">
        <v>20</v>
      </c>
      <c r="F59" s="823">
        <v>50</v>
      </c>
      <c r="G59" s="823"/>
      <c r="I59" s="822" t="s">
        <v>2888</v>
      </c>
      <c r="J59" s="823">
        <v>60</v>
      </c>
      <c r="L59" s="823">
        <v>200</v>
      </c>
      <c r="P59" s="823">
        <v>8</v>
      </c>
      <c r="Q59" s="822" t="s">
        <v>2889</v>
      </c>
      <c r="R59" s="823">
        <v>60</v>
      </c>
      <c r="S59" s="823" t="s">
        <v>2758</v>
      </c>
      <c r="T59" s="823" t="s">
        <v>2738</v>
      </c>
      <c r="U59" s="823" t="s">
        <v>2826</v>
      </c>
      <c r="V59" s="823" t="s">
        <v>2890</v>
      </c>
      <c r="W59" s="822" t="s">
        <v>2687</v>
      </c>
      <c r="X59" s="823" t="s">
        <v>2688</v>
      </c>
      <c r="Y59" s="823">
        <v>880</v>
      </c>
      <c r="Z59" s="823">
        <v>2160</v>
      </c>
      <c r="AC59" s="824">
        <v>7</v>
      </c>
      <c r="AD59" s="838" t="s">
        <v>2891</v>
      </c>
      <c r="AE59" s="826"/>
      <c r="AF59" s="826"/>
      <c r="AG59" s="827"/>
      <c r="AH59" s="826"/>
      <c r="AI59" s="826"/>
      <c r="AJ59" s="839">
        <v>700</v>
      </c>
    </row>
    <row r="60" spans="2:36" ht="15" customHeight="1" x14ac:dyDescent="0.2">
      <c r="B60" s="822" t="s">
        <v>2892</v>
      </c>
      <c r="D60" s="823">
        <v>20</v>
      </c>
      <c r="F60" s="823">
        <v>50</v>
      </c>
      <c r="G60" s="823"/>
      <c r="I60" s="822" t="s">
        <v>2893</v>
      </c>
      <c r="J60" s="823">
        <v>300</v>
      </c>
      <c r="L60" s="823">
        <v>400</v>
      </c>
      <c r="P60" s="823">
        <v>8</v>
      </c>
      <c r="Q60" s="822" t="s">
        <v>2854</v>
      </c>
      <c r="R60" s="823">
        <v>80</v>
      </c>
      <c r="S60" s="823" t="s">
        <v>2693</v>
      </c>
      <c r="T60" s="823" t="s">
        <v>2738</v>
      </c>
      <c r="U60" s="823" t="s">
        <v>2855</v>
      </c>
      <c r="V60" s="823" t="s">
        <v>2683</v>
      </c>
      <c r="W60" s="822" t="s">
        <v>2687</v>
      </c>
      <c r="X60" s="823" t="s">
        <v>2688</v>
      </c>
      <c r="Y60" s="823">
        <v>1440</v>
      </c>
      <c r="Z60" s="823">
        <v>3280</v>
      </c>
      <c r="AC60" s="824">
        <v>7</v>
      </c>
      <c r="AD60" s="842" t="s">
        <v>2894</v>
      </c>
      <c r="AE60" s="826"/>
      <c r="AF60" s="826"/>
      <c r="AG60" s="827"/>
      <c r="AH60" s="826"/>
      <c r="AI60" s="826"/>
      <c r="AJ60" s="843">
        <v>700</v>
      </c>
    </row>
    <row r="61" spans="2:36" ht="15" customHeight="1" x14ac:dyDescent="0.2">
      <c r="B61" s="822" t="s">
        <v>2895</v>
      </c>
      <c r="D61" s="823">
        <v>30</v>
      </c>
      <c r="F61" s="823">
        <v>75</v>
      </c>
      <c r="G61" s="823"/>
      <c r="I61" s="822" t="s">
        <v>2896</v>
      </c>
      <c r="J61" s="823">
        <v>60</v>
      </c>
      <c r="L61" s="823">
        <v>200</v>
      </c>
      <c r="P61" s="823">
        <v>9</v>
      </c>
      <c r="Q61" s="1417" t="s">
        <v>2897</v>
      </c>
      <c r="R61" s="1418">
        <v>60</v>
      </c>
      <c r="S61" s="1418" t="s">
        <v>2744</v>
      </c>
      <c r="T61" s="1418" t="s">
        <v>2829</v>
      </c>
      <c r="U61" s="1418" t="s">
        <v>2826</v>
      </c>
      <c r="V61" s="1418" t="s">
        <v>2702</v>
      </c>
      <c r="W61" s="1417" t="s">
        <v>2687</v>
      </c>
      <c r="X61" s="1418" t="s">
        <v>2762</v>
      </c>
      <c r="Y61" s="1418">
        <v>4440</v>
      </c>
      <c r="Z61" s="1418">
        <v>9330</v>
      </c>
      <c r="AC61" s="831">
        <v>7</v>
      </c>
      <c r="AD61" s="835" t="s">
        <v>2898</v>
      </c>
      <c r="AG61" s="815"/>
      <c r="AJ61" s="836">
        <v>12000</v>
      </c>
    </row>
    <row r="62" spans="2:36" ht="15" customHeight="1" x14ac:dyDescent="0.2">
      <c r="B62" s="822" t="s">
        <v>2899</v>
      </c>
      <c r="D62" s="823">
        <v>30</v>
      </c>
      <c r="F62" s="823">
        <v>75</v>
      </c>
      <c r="G62" s="823"/>
      <c r="I62" s="822" t="s">
        <v>2900</v>
      </c>
      <c r="J62" s="823">
        <v>350</v>
      </c>
      <c r="L62" s="823">
        <v>500</v>
      </c>
      <c r="P62" s="823">
        <v>9</v>
      </c>
      <c r="Q62" s="1417" t="s">
        <v>2901</v>
      </c>
      <c r="R62" s="1418">
        <v>90</v>
      </c>
      <c r="S62" s="1418" t="s">
        <v>2825</v>
      </c>
      <c r="T62" s="1418" t="s">
        <v>2738</v>
      </c>
      <c r="U62" s="1418" t="s">
        <v>2855</v>
      </c>
      <c r="V62" s="1418" t="s">
        <v>2902</v>
      </c>
      <c r="W62" s="1417" t="s">
        <v>2687</v>
      </c>
      <c r="X62" s="1418" t="s">
        <v>2688</v>
      </c>
      <c r="Y62" s="1418">
        <v>2910</v>
      </c>
      <c r="Z62" s="1418">
        <v>6270</v>
      </c>
      <c r="AC62" s="831">
        <v>7</v>
      </c>
      <c r="AD62" s="832" t="s">
        <v>2903</v>
      </c>
      <c r="AG62" s="815"/>
      <c r="AJ62" s="833">
        <v>10000</v>
      </c>
    </row>
    <row r="63" spans="2:36" ht="15" customHeight="1" x14ac:dyDescent="0.2">
      <c r="B63" s="822" t="s">
        <v>2904</v>
      </c>
      <c r="D63" s="823">
        <v>30</v>
      </c>
      <c r="F63" s="823">
        <v>75</v>
      </c>
      <c r="G63" s="823"/>
      <c r="I63" s="822" t="s">
        <v>2905</v>
      </c>
      <c r="J63" s="823">
        <v>350</v>
      </c>
      <c r="L63" s="823">
        <v>500</v>
      </c>
      <c r="P63" s="823">
        <v>9</v>
      </c>
      <c r="Q63" s="822" t="s">
        <v>2906</v>
      </c>
      <c r="R63" s="823">
        <v>60</v>
      </c>
      <c r="S63" s="823" t="s">
        <v>2711</v>
      </c>
      <c r="T63" s="823" t="s">
        <v>2738</v>
      </c>
      <c r="U63" s="823" t="s">
        <v>2826</v>
      </c>
      <c r="V63" s="823" t="s">
        <v>2702</v>
      </c>
      <c r="W63" s="822" t="s">
        <v>2703</v>
      </c>
      <c r="X63" s="823" t="s">
        <v>1920</v>
      </c>
      <c r="Y63" s="823">
        <v>1340</v>
      </c>
      <c r="Z63" s="823">
        <v>2460</v>
      </c>
      <c r="AC63" s="831">
        <v>8</v>
      </c>
      <c r="AD63" s="832" t="s">
        <v>2907</v>
      </c>
      <c r="AG63" s="815"/>
      <c r="AJ63" s="833">
        <v>12000</v>
      </c>
    </row>
    <row r="64" spans="2:36" ht="15" customHeight="1" x14ac:dyDescent="0.2">
      <c r="B64" s="822" t="s">
        <v>2908</v>
      </c>
      <c r="D64" s="823">
        <v>30</v>
      </c>
      <c r="F64" s="823">
        <v>75</v>
      </c>
      <c r="G64" s="823"/>
      <c r="I64" s="822" t="s">
        <v>2909</v>
      </c>
      <c r="J64" s="823">
        <v>70</v>
      </c>
      <c r="L64" s="823">
        <v>250</v>
      </c>
      <c r="P64" s="823">
        <v>9</v>
      </c>
      <c r="Q64" s="1417" t="s">
        <v>2910</v>
      </c>
      <c r="R64" s="1418">
        <v>60</v>
      </c>
      <c r="S64" s="1418" t="s">
        <v>2783</v>
      </c>
      <c r="T64" s="1418" t="s">
        <v>2768</v>
      </c>
      <c r="U64" s="1418" t="s">
        <v>2826</v>
      </c>
      <c r="V64" s="1418" t="s">
        <v>2739</v>
      </c>
      <c r="W64" s="1417" t="s">
        <v>2687</v>
      </c>
      <c r="X64" s="1418" t="s">
        <v>2688</v>
      </c>
      <c r="Y64" s="1418">
        <v>3040</v>
      </c>
      <c r="Z64" s="1418">
        <v>6530</v>
      </c>
      <c r="AC64" s="831">
        <v>8</v>
      </c>
      <c r="AD64" s="834" t="s">
        <v>2911</v>
      </c>
      <c r="AG64" s="815"/>
      <c r="AJ64" s="831">
        <v>80</v>
      </c>
    </row>
    <row r="65" spans="2:36" ht="15" customHeight="1" x14ac:dyDescent="0.2">
      <c r="B65" s="822" t="s">
        <v>2912</v>
      </c>
      <c r="D65" s="823">
        <v>120</v>
      </c>
      <c r="F65" s="823">
        <v>200</v>
      </c>
      <c r="G65" s="823"/>
      <c r="I65" s="822" t="s">
        <v>2913</v>
      </c>
      <c r="J65" s="823">
        <v>350</v>
      </c>
      <c r="L65" s="837">
        <v>1000</v>
      </c>
      <c r="P65" s="823">
        <v>9</v>
      </c>
      <c r="Q65" s="822" t="s">
        <v>2914</v>
      </c>
      <c r="R65" s="823">
        <v>100</v>
      </c>
      <c r="S65" s="823" t="s">
        <v>2711</v>
      </c>
      <c r="T65" s="823" t="s">
        <v>2738</v>
      </c>
      <c r="U65" s="823" t="s">
        <v>2855</v>
      </c>
      <c r="V65" s="823" t="s">
        <v>2830</v>
      </c>
      <c r="W65" s="822" t="s">
        <v>2687</v>
      </c>
      <c r="X65" s="823" t="s">
        <v>2915</v>
      </c>
      <c r="Y65" s="823">
        <v>1700</v>
      </c>
      <c r="Z65" s="823">
        <v>3850</v>
      </c>
      <c r="AC65" s="824">
        <v>8</v>
      </c>
      <c r="AD65" s="825" t="s">
        <v>2916</v>
      </c>
      <c r="AE65" s="826"/>
      <c r="AF65" s="826"/>
      <c r="AG65" s="827"/>
      <c r="AH65" s="826"/>
      <c r="AI65" s="826"/>
      <c r="AJ65" s="824">
        <v>8000</v>
      </c>
    </row>
    <row r="66" spans="2:36" ht="15" customHeight="1" x14ac:dyDescent="0.2">
      <c r="B66" s="822" t="s">
        <v>2917</v>
      </c>
      <c r="D66" s="823">
        <v>300</v>
      </c>
      <c r="F66" s="823">
        <v>400</v>
      </c>
      <c r="G66" s="823"/>
      <c r="I66" s="822" t="s">
        <v>2918</v>
      </c>
      <c r="J66" s="823">
        <v>70</v>
      </c>
      <c r="L66" s="823">
        <v>250</v>
      </c>
      <c r="P66" s="860"/>
      <c r="AC66" s="824">
        <v>8</v>
      </c>
      <c r="AD66" s="825" t="s">
        <v>2919</v>
      </c>
      <c r="AE66" s="826"/>
      <c r="AF66" s="826"/>
      <c r="AG66" s="827"/>
      <c r="AH66" s="826"/>
      <c r="AI66" s="826"/>
      <c r="AJ66" s="824">
        <v>8000</v>
      </c>
    </row>
    <row r="67" spans="2:36" ht="15" customHeight="1" x14ac:dyDescent="0.2">
      <c r="B67" s="822" t="s">
        <v>2920</v>
      </c>
      <c r="D67" s="823">
        <v>30</v>
      </c>
      <c r="F67" s="823">
        <v>100</v>
      </c>
      <c r="G67" s="823"/>
      <c r="I67" s="822" t="s">
        <v>2921</v>
      </c>
      <c r="J67" s="823">
        <v>800</v>
      </c>
      <c r="L67" s="837">
        <v>1200</v>
      </c>
      <c r="AC67" s="824">
        <v>8</v>
      </c>
      <c r="AD67" s="842" t="s">
        <v>2922</v>
      </c>
      <c r="AE67" s="826"/>
      <c r="AF67" s="826"/>
      <c r="AG67" s="827"/>
      <c r="AH67" s="826"/>
      <c r="AI67" s="826"/>
      <c r="AJ67" s="843">
        <v>8000</v>
      </c>
    </row>
    <row r="68" spans="2:36" ht="15" customHeight="1" x14ac:dyDescent="0.2">
      <c r="B68" s="822" t="s">
        <v>2923</v>
      </c>
      <c r="D68" s="823">
        <v>30</v>
      </c>
      <c r="F68" s="823">
        <v>75</v>
      </c>
      <c r="G68" s="823"/>
      <c r="I68" s="822" t="s">
        <v>2924</v>
      </c>
      <c r="J68" s="837">
        <v>8000</v>
      </c>
      <c r="L68" s="837">
        <v>8500</v>
      </c>
      <c r="P68" s="1419" t="s">
        <v>3939</v>
      </c>
      <c r="AC68" s="824">
        <v>8</v>
      </c>
      <c r="AD68" s="842" t="s">
        <v>2925</v>
      </c>
      <c r="AE68" s="826"/>
      <c r="AF68" s="826"/>
      <c r="AG68" s="827"/>
      <c r="AH68" s="826"/>
      <c r="AI68" s="826"/>
      <c r="AJ68" s="843" t="s">
        <v>2926</v>
      </c>
    </row>
    <row r="69" spans="2:36" ht="15" customHeight="1" x14ac:dyDescent="0.2">
      <c r="B69" s="822" t="s">
        <v>2927</v>
      </c>
      <c r="D69" s="823">
        <v>40</v>
      </c>
      <c r="F69" s="823">
        <v>100</v>
      </c>
      <c r="G69" s="823"/>
      <c r="I69" s="822" t="s">
        <v>2928</v>
      </c>
      <c r="J69" s="823">
        <v>80</v>
      </c>
      <c r="L69" s="823">
        <v>300</v>
      </c>
      <c r="AC69" s="831">
        <v>9</v>
      </c>
      <c r="AD69" s="835" t="s">
        <v>2929</v>
      </c>
      <c r="AG69" s="815"/>
      <c r="AJ69" s="836">
        <v>900</v>
      </c>
    </row>
    <row r="70" spans="2:36" ht="15" customHeight="1" x14ac:dyDescent="0.2">
      <c r="B70" s="822" t="s">
        <v>2930</v>
      </c>
      <c r="D70" s="823">
        <v>40</v>
      </c>
      <c r="F70" s="823">
        <v>100</v>
      </c>
      <c r="G70" s="823"/>
      <c r="I70" s="822" t="s">
        <v>2931</v>
      </c>
      <c r="J70" s="823">
        <v>80</v>
      </c>
      <c r="L70" s="823">
        <v>300</v>
      </c>
      <c r="AC70" s="831">
        <v>9</v>
      </c>
      <c r="AD70" s="835" t="s">
        <v>2932</v>
      </c>
      <c r="AG70" s="815"/>
      <c r="AJ70" s="836">
        <v>9000</v>
      </c>
    </row>
    <row r="71" spans="2:36" ht="15" customHeight="1" x14ac:dyDescent="0.2">
      <c r="B71" s="822" t="s">
        <v>2933</v>
      </c>
      <c r="D71" s="823">
        <v>40</v>
      </c>
      <c r="F71" s="823">
        <v>100</v>
      </c>
      <c r="G71" s="823"/>
      <c r="I71" s="822" t="s">
        <v>2934</v>
      </c>
      <c r="J71" s="823">
        <v>900</v>
      </c>
      <c r="L71" s="837">
        <v>1400</v>
      </c>
      <c r="AC71" s="831">
        <v>9</v>
      </c>
      <c r="AD71" s="835" t="s">
        <v>2935</v>
      </c>
      <c r="AG71" s="815"/>
      <c r="AJ71" s="865">
        <v>18000</v>
      </c>
    </row>
    <row r="72" spans="2:36" ht="15" customHeight="1" x14ac:dyDescent="0.2">
      <c r="B72" s="822" t="s">
        <v>2936</v>
      </c>
      <c r="D72" s="823">
        <v>200</v>
      </c>
      <c r="F72" s="823">
        <v>250</v>
      </c>
      <c r="G72" s="823"/>
      <c r="I72" s="822" t="s">
        <v>2937</v>
      </c>
      <c r="J72" s="837">
        <v>9000</v>
      </c>
      <c r="L72" s="837">
        <v>10000</v>
      </c>
      <c r="AC72" s="831">
        <v>9</v>
      </c>
      <c r="AD72" s="834" t="s">
        <v>2938</v>
      </c>
      <c r="AG72" s="815"/>
      <c r="AJ72" s="866">
        <v>27000</v>
      </c>
    </row>
    <row r="73" spans="2:36" ht="15" customHeight="1" x14ac:dyDescent="0.2">
      <c r="B73" s="822" t="s">
        <v>2939</v>
      </c>
      <c r="D73" s="823">
        <v>40</v>
      </c>
      <c r="F73" s="823">
        <v>100</v>
      </c>
      <c r="G73" s="823"/>
      <c r="I73" s="822" t="s">
        <v>2940</v>
      </c>
      <c r="J73" s="823">
        <v>90</v>
      </c>
      <c r="L73" s="823">
        <v>400</v>
      </c>
      <c r="AC73" s="824">
        <v>9</v>
      </c>
      <c r="AD73" s="825" t="s">
        <v>2941</v>
      </c>
      <c r="AE73" s="826"/>
      <c r="AF73" s="826"/>
      <c r="AG73" s="827"/>
      <c r="AH73" s="826"/>
      <c r="AI73" s="826"/>
      <c r="AJ73" s="867">
        <v>36000</v>
      </c>
    </row>
    <row r="74" spans="2:36" ht="15" customHeight="1" x14ac:dyDescent="0.2">
      <c r="B74" s="822" t="s">
        <v>2942</v>
      </c>
      <c r="D74" s="823">
        <v>40</v>
      </c>
      <c r="F74" s="823">
        <v>100</v>
      </c>
      <c r="G74" s="823"/>
      <c r="I74" s="822" t="s">
        <v>2943</v>
      </c>
      <c r="J74" s="823">
        <v>900</v>
      </c>
      <c r="L74" s="837">
        <v>1500</v>
      </c>
      <c r="AC74" s="824">
        <v>9</v>
      </c>
      <c r="AD74" s="825" t="s">
        <v>2944</v>
      </c>
      <c r="AE74" s="826"/>
      <c r="AF74" s="826"/>
      <c r="AG74" s="827"/>
      <c r="AH74" s="826"/>
      <c r="AI74" s="826"/>
      <c r="AJ74" s="867">
        <v>81000</v>
      </c>
    </row>
    <row r="75" spans="2:36" ht="15" customHeight="1" x14ac:dyDescent="0.25">
      <c r="B75" s="850"/>
      <c r="C75" s="850"/>
      <c r="D75" s="850"/>
      <c r="E75" s="850"/>
      <c r="F75" s="850"/>
      <c r="G75" s="814"/>
      <c r="H75" s="814"/>
      <c r="AC75" s="824">
        <v>9</v>
      </c>
      <c r="AD75" s="825" t="s">
        <v>2945</v>
      </c>
      <c r="AE75" s="826"/>
      <c r="AF75" s="826"/>
      <c r="AG75" s="827"/>
      <c r="AH75" s="826"/>
      <c r="AI75" s="826"/>
      <c r="AJ75" s="867">
        <v>45000</v>
      </c>
    </row>
    <row r="76" spans="2:36" ht="15" customHeight="1" x14ac:dyDescent="0.2">
      <c r="B76" s="851" t="s">
        <v>2946</v>
      </c>
      <c r="C76" s="828"/>
      <c r="D76" s="828"/>
      <c r="E76" s="828"/>
      <c r="F76" s="828"/>
      <c r="G76" s="828"/>
      <c r="H76" s="822"/>
      <c r="AC76" s="824">
        <v>9</v>
      </c>
      <c r="AD76" s="838" t="s">
        <v>2947</v>
      </c>
      <c r="AE76" s="826"/>
      <c r="AF76" s="826"/>
      <c r="AG76" s="827"/>
      <c r="AH76" s="826"/>
      <c r="AI76" s="826"/>
      <c r="AJ76" s="868">
        <v>54000</v>
      </c>
    </row>
    <row r="77" spans="2:36" ht="15" customHeight="1" x14ac:dyDescent="0.2">
      <c r="B77" s="828"/>
      <c r="C77" s="828"/>
      <c r="D77" s="828"/>
      <c r="E77" s="828"/>
      <c r="F77" s="828"/>
      <c r="G77" s="828"/>
      <c r="H77" s="822"/>
      <c r="AC77" s="831">
        <v>9</v>
      </c>
      <c r="AD77" s="835" t="s">
        <v>2948</v>
      </c>
      <c r="AG77" s="815"/>
      <c r="AJ77" s="865">
        <v>63000</v>
      </c>
    </row>
    <row r="78" spans="2:36" ht="15" customHeight="1" x14ac:dyDescent="0.2">
      <c r="B78" s="822" t="s">
        <v>2949</v>
      </c>
      <c r="H78" s="848"/>
      <c r="AC78" s="831">
        <v>9</v>
      </c>
      <c r="AD78" s="835" t="s">
        <v>2950</v>
      </c>
      <c r="AG78" s="815"/>
      <c r="AJ78" s="865">
        <v>72000</v>
      </c>
    </row>
    <row r="79" spans="2:36" ht="15" customHeight="1" x14ac:dyDescent="0.2">
      <c r="AC79" s="831">
        <v>9</v>
      </c>
      <c r="AD79" s="844" t="s">
        <v>1238</v>
      </c>
      <c r="AG79" s="815"/>
      <c r="AJ79" s="845" t="s">
        <v>2951</v>
      </c>
    </row>
    <row r="80" spans="2:36" ht="15" customHeight="1" x14ac:dyDescent="0.2">
      <c r="AC80" s="831">
        <v>9</v>
      </c>
      <c r="AD80" s="834" t="s">
        <v>2952</v>
      </c>
      <c r="AG80" s="815"/>
      <c r="AJ80" s="831">
        <v>900</v>
      </c>
    </row>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sheetData>
  <mergeCells count="149">
    <mergeCell ref="D4:E4"/>
    <mergeCell ref="F4:G4"/>
    <mergeCell ref="J4:K4"/>
    <mergeCell ref="L4:M4"/>
    <mergeCell ref="P4:Z6"/>
    <mergeCell ref="D5:E5"/>
    <mergeCell ref="F5:G5"/>
    <mergeCell ref="J5:K5"/>
    <mergeCell ref="L5:M5"/>
    <mergeCell ref="D6:E6"/>
    <mergeCell ref="F6:G6"/>
    <mergeCell ref="J6:K6"/>
    <mergeCell ref="L6:M6"/>
    <mergeCell ref="AM6:AT9"/>
    <mergeCell ref="D7:E7"/>
    <mergeCell ref="F7:G7"/>
    <mergeCell ref="J7:K7"/>
    <mergeCell ref="L7:M7"/>
    <mergeCell ref="D8:E8"/>
    <mergeCell ref="F8:G8"/>
    <mergeCell ref="AM10:AT12"/>
    <mergeCell ref="D11:E11"/>
    <mergeCell ref="F11:G11"/>
    <mergeCell ref="J11:K11"/>
    <mergeCell ref="L11:M11"/>
    <mergeCell ref="D12:E12"/>
    <mergeCell ref="J8:K8"/>
    <mergeCell ref="L8:M8"/>
    <mergeCell ref="D9:E9"/>
    <mergeCell ref="F9:G9"/>
    <mergeCell ref="J9:K9"/>
    <mergeCell ref="L9:M9"/>
    <mergeCell ref="F12:G12"/>
    <mergeCell ref="J12:K12"/>
    <mergeCell ref="L12:M12"/>
    <mergeCell ref="D13:E13"/>
    <mergeCell ref="F13:G13"/>
    <mergeCell ref="J13:K13"/>
    <mergeCell ref="L13:M13"/>
    <mergeCell ref="D10:E10"/>
    <mergeCell ref="F10:G10"/>
    <mergeCell ref="J10:K10"/>
    <mergeCell ref="L10:M10"/>
    <mergeCell ref="AM13:AT15"/>
    <mergeCell ref="D14:E14"/>
    <mergeCell ref="F14:G14"/>
    <mergeCell ref="J14:K14"/>
    <mergeCell ref="L14:M14"/>
    <mergeCell ref="D15:E15"/>
    <mergeCell ref="F15:G15"/>
    <mergeCell ref="J15:K15"/>
    <mergeCell ref="L15:M15"/>
    <mergeCell ref="D16:E16"/>
    <mergeCell ref="F16:G16"/>
    <mergeCell ref="J16:K16"/>
    <mergeCell ref="L16:M16"/>
    <mergeCell ref="AM16:AT17"/>
    <mergeCell ref="D17:E17"/>
    <mergeCell ref="F17:G17"/>
    <mergeCell ref="J17:K17"/>
    <mergeCell ref="L17:M17"/>
    <mergeCell ref="D18:E18"/>
    <mergeCell ref="F18:G18"/>
    <mergeCell ref="J18:K18"/>
    <mergeCell ref="L18:M18"/>
    <mergeCell ref="D19:E19"/>
    <mergeCell ref="F19:G19"/>
    <mergeCell ref="J19:K19"/>
    <mergeCell ref="L19:M19"/>
    <mergeCell ref="F22:G22"/>
    <mergeCell ref="J22:K22"/>
    <mergeCell ref="L22:M22"/>
    <mergeCell ref="D20:E20"/>
    <mergeCell ref="F20:G20"/>
    <mergeCell ref="J20:K20"/>
    <mergeCell ref="L20:M20"/>
    <mergeCell ref="D26:E26"/>
    <mergeCell ref="F26:G26"/>
    <mergeCell ref="J26:K26"/>
    <mergeCell ref="L26:M26"/>
    <mergeCell ref="AM20:AT22"/>
    <mergeCell ref="D21:E21"/>
    <mergeCell ref="F21:G21"/>
    <mergeCell ref="J21:K21"/>
    <mergeCell ref="L21:M21"/>
    <mergeCell ref="D22:E22"/>
    <mergeCell ref="D24:E24"/>
    <mergeCell ref="F24:G24"/>
    <mergeCell ref="J24:K24"/>
    <mergeCell ref="L24:M24"/>
    <mergeCell ref="D25:E25"/>
    <mergeCell ref="F25:G25"/>
    <mergeCell ref="J25:K25"/>
    <mergeCell ref="L25:M25"/>
    <mergeCell ref="D23:E23"/>
    <mergeCell ref="F23:G23"/>
    <mergeCell ref="J23:K23"/>
    <mergeCell ref="L23:M23"/>
    <mergeCell ref="AM27:AT28"/>
    <mergeCell ref="D28:E28"/>
    <mergeCell ref="F28:G28"/>
    <mergeCell ref="J28:K28"/>
    <mergeCell ref="L28:M28"/>
    <mergeCell ref="D29:E29"/>
    <mergeCell ref="F29:G29"/>
    <mergeCell ref="J29:K29"/>
    <mergeCell ref="L29:M29"/>
    <mergeCell ref="D27:E27"/>
    <mergeCell ref="F27:G27"/>
    <mergeCell ref="J27:K27"/>
    <mergeCell ref="L27:M27"/>
    <mergeCell ref="D30:E30"/>
    <mergeCell ref="F30:G30"/>
    <mergeCell ref="J30:K30"/>
    <mergeCell ref="L30:M30"/>
    <mergeCell ref="AM30:AT33"/>
    <mergeCell ref="D31:E31"/>
    <mergeCell ref="F31:G31"/>
    <mergeCell ref="J31:K31"/>
    <mergeCell ref="L31:M31"/>
    <mergeCell ref="D32:E32"/>
    <mergeCell ref="D34:E34"/>
    <mergeCell ref="F34:G34"/>
    <mergeCell ref="J34:K34"/>
    <mergeCell ref="L34:M34"/>
    <mergeCell ref="D35:E35"/>
    <mergeCell ref="F35:G35"/>
    <mergeCell ref="J35:K35"/>
    <mergeCell ref="L35:M35"/>
    <mergeCell ref="F32:G32"/>
    <mergeCell ref="J32:K32"/>
    <mergeCell ref="L32:M32"/>
    <mergeCell ref="D33:E33"/>
    <mergeCell ref="F33:G33"/>
    <mergeCell ref="J33:K33"/>
    <mergeCell ref="L33:M33"/>
    <mergeCell ref="AE43:AF43"/>
    <mergeCell ref="AE44:AF44"/>
    <mergeCell ref="B48:C48"/>
    <mergeCell ref="D48:E48"/>
    <mergeCell ref="F48:G48"/>
    <mergeCell ref="J48:K48"/>
    <mergeCell ref="L48:M48"/>
    <mergeCell ref="D36:E36"/>
    <mergeCell ref="F36:G36"/>
    <mergeCell ref="J36:K36"/>
    <mergeCell ref="L36:M36"/>
    <mergeCell ref="B37:K38"/>
    <mergeCell ref="B39:L4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D31D2-FD6A-49D0-B71E-0BCD3F1A17B4}">
  <sheetPr>
    <tabColor rgb="FFFF6161"/>
  </sheetPr>
  <dimension ref="A1:AX112"/>
  <sheetViews>
    <sheetView showZeros="0" topLeftCell="B49" zoomScale="130" zoomScaleNormal="130" workbookViewId="0">
      <selection activeCell="H24" sqref="H24"/>
    </sheetView>
  </sheetViews>
  <sheetFormatPr defaultColWidth="11" defaultRowHeight="12.75" x14ac:dyDescent="0.2"/>
  <cols>
    <col min="1" max="1" width="1.125" style="1" customWidth="1"/>
    <col min="2" max="2" width="0.875" style="1" customWidth="1"/>
    <col min="3" max="8" width="5.625" style="1" customWidth="1"/>
    <col min="9" max="9" width="1.125" style="1" customWidth="1"/>
    <col min="10" max="10" width="0.875" style="1" customWidth="1"/>
    <col min="11" max="12" width="5.625" style="1" customWidth="1"/>
    <col min="13" max="14" width="5.375" style="1" customWidth="1"/>
    <col min="15" max="15" width="6.875" style="1" customWidth="1"/>
    <col min="16" max="16" width="5.625" style="1" customWidth="1"/>
    <col min="17" max="17" width="1.125" style="1" customWidth="1"/>
    <col min="18" max="18" width="0.875" style="1" customWidth="1"/>
    <col min="19" max="23" width="5.375" style="1" customWidth="1"/>
    <col min="24" max="24" width="0.875" style="1" customWidth="1"/>
    <col min="25" max="27" width="1" style="1" customWidth="1"/>
    <col min="28" max="28" width="20.625" style="1" customWidth="1"/>
    <col min="29" max="29" width="10.625" style="1" customWidth="1"/>
    <col min="30" max="41" width="5.625" style="1" customWidth="1"/>
    <col min="42" max="43" width="1" style="1" customWidth="1"/>
    <col min="44" max="44" width="3.75" style="1" customWidth="1"/>
    <col min="45" max="46" width="9.375" style="1" customWidth="1"/>
    <col min="47" max="47" width="12.125" style="1" customWidth="1"/>
    <col min="48" max="50" width="9.375" style="1" customWidth="1"/>
    <col min="51" max="254" width="8.75" style="1" customWidth="1"/>
    <col min="255" max="16384" width="11" style="1"/>
  </cols>
  <sheetData>
    <row r="1" spans="1:43" ht="3.6" customHeight="1" x14ac:dyDescent="0.2">
      <c r="A1" s="8"/>
      <c r="B1" s="6"/>
      <c r="C1" s="6"/>
      <c r="D1" s="6"/>
      <c r="E1" s="6"/>
      <c r="F1" s="6"/>
      <c r="G1" s="6"/>
      <c r="H1" s="6"/>
      <c r="I1" s="6"/>
      <c r="J1" s="6"/>
      <c r="K1" s="6"/>
      <c r="L1" s="6"/>
      <c r="M1" s="6"/>
      <c r="N1" s="6"/>
      <c r="O1" s="6"/>
      <c r="P1" s="6"/>
      <c r="Q1" s="6"/>
      <c r="R1" s="6"/>
      <c r="S1" s="6"/>
      <c r="T1" s="6"/>
      <c r="U1" s="6"/>
      <c r="V1" s="6"/>
      <c r="W1" s="6"/>
      <c r="X1" s="6"/>
      <c r="Y1" s="9"/>
      <c r="Z1" s="8"/>
      <c r="AA1" s="6"/>
      <c r="AB1" s="6"/>
      <c r="AC1" s="6"/>
      <c r="AD1" s="6"/>
      <c r="AE1" s="6"/>
      <c r="AF1" s="6"/>
      <c r="AG1" s="6"/>
      <c r="AH1" s="6"/>
      <c r="AI1" s="6"/>
      <c r="AJ1" s="6"/>
      <c r="AK1" s="6"/>
      <c r="AL1" s="6"/>
      <c r="AM1" s="6"/>
      <c r="AN1" s="6"/>
      <c r="AO1" s="6"/>
      <c r="AP1" s="6"/>
      <c r="AQ1" s="9"/>
    </row>
    <row r="2" spans="1:43" ht="3.6" customHeight="1" thickBot="1" x14ac:dyDescent="0.25">
      <c r="A2" s="2"/>
      <c r="B2" s="109"/>
      <c r="C2" s="88"/>
      <c r="D2" s="88"/>
      <c r="E2" s="88"/>
      <c r="F2" s="88"/>
      <c r="G2" s="88"/>
      <c r="H2" s="88"/>
      <c r="I2" s="88"/>
      <c r="J2" s="88"/>
      <c r="K2" s="88"/>
      <c r="L2" s="88"/>
      <c r="M2" s="88"/>
      <c r="N2" s="88"/>
      <c r="O2" s="88"/>
      <c r="P2" s="88"/>
      <c r="Q2" s="88"/>
      <c r="R2" s="88"/>
      <c r="S2" s="88"/>
      <c r="T2" s="88"/>
      <c r="U2" s="88"/>
      <c r="V2" s="88"/>
      <c r="W2" s="88"/>
      <c r="X2" s="91"/>
      <c r="Y2" s="3"/>
      <c r="Z2" s="2"/>
      <c r="AA2" s="96"/>
      <c r="AB2" s="97"/>
      <c r="AC2" s="97"/>
      <c r="AD2" s="97"/>
      <c r="AE2" s="97"/>
      <c r="AF2" s="97"/>
      <c r="AG2" s="97"/>
      <c r="AH2" s="97"/>
      <c r="AI2" s="97"/>
      <c r="AJ2" s="97"/>
      <c r="AK2" s="97"/>
      <c r="AL2" s="97"/>
      <c r="AM2" s="97"/>
      <c r="AN2" s="97"/>
      <c r="AO2" s="97"/>
      <c r="AP2" s="98"/>
      <c r="AQ2" s="3"/>
    </row>
    <row r="3" spans="1:43" ht="15" customHeight="1" x14ac:dyDescent="0.3">
      <c r="A3" s="2"/>
      <c r="B3" s="108"/>
      <c r="C3" s="128" t="s">
        <v>0</v>
      </c>
      <c r="D3" s="128"/>
      <c r="E3" s="1485"/>
      <c r="F3" s="1465"/>
      <c r="G3" s="1465"/>
      <c r="H3" s="1465"/>
      <c r="I3" s="128"/>
      <c r="J3" s="128"/>
      <c r="K3" s="128" t="s">
        <v>2</v>
      </c>
      <c r="L3" s="128"/>
      <c r="M3" s="1464"/>
      <c r="N3" s="1465"/>
      <c r="O3" s="1465"/>
      <c r="P3" s="1465"/>
      <c r="Q3" s="85"/>
      <c r="R3" s="85"/>
      <c r="S3" s="1476" t="s">
        <v>127</v>
      </c>
      <c r="T3" s="1477"/>
      <c r="U3" s="1477"/>
      <c r="V3" s="1477"/>
      <c r="W3" s="1478"/>
      <c r="X3" s="87"/>
      <c r="Y3" s="3"/>
      <c r="Z3" s="2"/>
      <c r="AA3" s="99"/>
      <c r="AB3" s="139" t="s">
        <v>3</v>
      </c>
      <c r="AC3" s="100"/>
      <c r="AD3" s="101"/>
      <c r="AE3" s="101"/>
      <c r="AF3" s="101"/>
      <c r="AG3" s="101"/>
      <c r="AH3" s="101"/>
      <c r="AI3" s="102"/>
      <c r="AJ3" s="103"/>
      <c r="AK3" s="102"/>
      <c r="AL3" s="101"/>
      <c r="AM3" s="101"/>
      <c r="AN3" s="101"/>
      <c r="AO3" s="159" t="s">
        <v>4</v>
      </c>
      <c r="AP3" s="104"/>
      <c r="AQ3" s="3"/>
    </row>
    <row r="4" spans="1:43" ht="15" customHeight="1" thickBot="1" x14ac:dyDescent="0.3">
      <c r="A4" s="2"/>
      <c r="B4" s="108"/>
      <c r="C4" s="128" t="s">
        <v>5</v>
      </c>
      <c r="D4" s="128"/>
      <c r="E4" s="1485"/>
      <c r="F4" s="1465"/>
      <c r="G4" s="1465"/>
      <c r="H4" s="1465"/>
      <c r="I4" s="128"/>
      <c r="J4" s="128"/>
      <c r="K4" s="740" t="s">
        <v>2215</v>
      </c>
      <c r="L4" s="128"/>
      <c r="M4" s="141"/>
      <c r="N4" s="141"/>
      <c r="O4" s="84"/>
      <c r="P4" s="84"/>
      <c r="Q4" s="85"/>
      <c r="R4" s="85"/>
      <c r="S4" s="1479" t="s">
        <v>136</v>
      </c>
      <c r="T4" s="1480"/>
      <c r="U4" s="1480"/>
      <c r="V4" s="1480"/>
      <c r="W4" s="1481"/>
      <c r="X4" s="87"/>
      <c r="Y4" s="3"/>
      <c r="Z4" s="2"/>
      <c r="AA4" s="99"/>
      <c r="AB4" s="138"/>
      <c r="AC4" s="106"/>
      <c r="AD4" s="106"/>
      <c r="AE4" s="106"/>
      <c r="AF4" s="106"/>
      <c r="AG4" s="106"/>
      <c r="AH4" s="106"/>
      <c r="AI4" s="106"/>
      <c r="AJ4" s="106"/>
      <c r="AK4" s="106"/>
      <c r="AL4" s="106"/>
      <c r="AM4" s="106"/>
      <c r="AN4" s="106"/>
      <c r="AO4" s="106"/>
      <c r="AP4" s="105"/>
      <c r="AQ4" s="3"/>
    </row>
    <row r="5" spans="1:43" ht="15" customHeight="1" x14ac:dyDescent="0.25">
      <c r="A5" s="2"/>
      <c r="B5" s="108"/>
      <c r="C5" s="128" t="s">
        <v>6</v>
      </c>
      <c r="D5" s="128"/>
      <c r="E5" s="1485"/>
      <c r="F5" s="1465"/>
      <c r="G5" s="1465"/>
      <c r="H5" s="1465"/>
      <c r="I5" s="128"/>
      <c r="J5" s="128"/>
      <c r="K5" s="128" t="s">
        <v>7</v>
      </c>
      <c r="L5" s="128"/>
      <c r="M5" s="141"/>
      <c r="N5" s="141"/>
      <c r="O5" s="1466"/>
      <c r="P5" s="1465"/>
      <c r="Q5" s="85"/>
      <c r="R5" s="85"/>
      <c r="S5" s="1482" t="s">
        <v>130</v>
      </c>
      <c r="T5" s="1483"/>
      <c r="U5" s="1483"/>
      <c r="V5" s="1483"/>
      <c r="W5" s="1484"/>
      <c r="X5" s="87"/>
      <c r="Y5" s="3"/>
      <c r="Z5" s="2"/>
      <c r="AA5" s="99"/>
      <c r="AB5" s="138" t="s">
        <v>15</v>
      </c>
      <c r="AC5" s="106"/>
      <c r="AD5" s="106"/>
      <c r="AE5" s="106"/>
      <c r="AF5" s="106"/>
      <c r="AG5" s="106"/>
      <c r="AH5" s="106"/>
      <c r="AI5" s="106"/>
      <c r="AJ5" s="106"/>
      <c r="AK5" s="106"/>
      <c r="AL5" s="106"/>
      <c r="AM5" s="106"/>
      <c r="AN5" s="106"/>
      <c r="AO5" s="106"/>
      <c r="AP5" s="105"/>
      <c r="AQ5" s="3"/>
    </row>
    <row r="6" spans="1:43" ht="15" customHeight="1" x14ac:dyDescent="0.2">
      <c r="A6" s="2"/>
      <c r="B6" s="108"/>
      <c r="C6" s="128" t="s">
        <v>8</v>
      </c>
      <c r="D6" s="128"/>
      <c r="E6" s="1485"/>
      <c r="F6" s="1465"/>
      <c r="G6" s="1465"/>
      <c r="H6" s="1465"/>
      <c r="I6" s="128"/>
      <c r="J6" s="128"/>
      <c r="K6" s="128" t="s">
        <v>9</v>
      </c>
      <c r="L6" s="128"/>
      <c r="M6" s="141"/>
      <c r="N6" s="141"/>
      <c r="O6" s="1466"/>
      <c r="P6" s="1465"/>
      <c r="Q6" s="85"/>
      <c r="R6" s="85"/>
      <c r="S6" s="1467"/>
      <c r="T6" s="1468"/>
      <c r="U6" s="1468"/>
      <c r="V6" s="1468"/>
      <c r="W6" s="1469"/>
      <c r="X6" s="87"/>
      <c r="Y6" s="3"/>
      <c r="Z6" s="2"/>
      <c r="AA6" s="99"/>
      <c r="AB6" s="281" t="s">
        <v>48</v>
      </c>
      <c r="AC6" s="282" t="s">
        <v>49</v>
      </c>
      <c r="AD6" s="282" t="s">
        <v>50</v>
      </c>
      <c r="AE6" s="282" t="s">
        <v>51</v>
      </c>
      <c r="AF6" s="282" t="s">
        <v>52</v>
      </c>
      <c r="AG6" s="282" t="s">
        <v>53</v>
      </c>
      <c r="AH6" s="282" t="s">
        <v>137</v>
      </c>
      <c r="AI6" s="282" t="s">
        <v>55</v>
      </c>
      <c r="AJ6" s="282" t="s">
        <v>56</v>
      </c>
      <c r="AK6" s="283" t="s">
        <v>57</v>
      </c>
      <c r="AL6" s="283" t="s">
        <v>138</v>
      </c>
      <c r="AM6" s="283" t="s">
        <v>58</v>
      </c>
      <c r="AN6" s="282"/>
      <c r="AO6" s="282"/>
      <c r="AP6" s="105"/>
      <c r="AQ6" s="3"/>
    </row>
    <row r="7" spans="1:43" ht="15" customHeight="1" x14ac:dyDescent="0.2">
      <c r="A7" s="2"/>
      <c r="B7" s="108"/>
      <c r="C7" s="128" t="s">
        <v>10</v>
      </c>
      <c r="D7" s="128"/>
      <c r="E7" s="1485"/>
      <c r="F7" s="1465"/>
      <c r="G7" s="1465"/>
      <c r="H7" s="1465"/>
      <c r="I7" s="128"/>
      <c r="J7" s="128"/>
      <c r="K7" s="128" t="s">
        <v>11</v>
      </c>
      <c r="L7" s="128"/>
      <c r="M7" s="141"/>
      <c r="N7" s="141"/>
      <c r="O7" s="1466"/>
      <c r="P7" s="1465"/>
      <c r="Q7" s="85"/>
      <c r="R7" s="85"/>
      <c r="S7" s="1470"/>
      <c r="T7" s="1471"/>
      <c r="U7" s="1471"/>
      <c r="V7" s="1471"/>
      <c r="W7" s="1472"/>
      <c r="X7" s="87"/>
      <c r="Y7" s="3"/>
      <c r="Z7" s="2"/>
      <c r="AA7" s="99"/>
      <c r="AB7" s="255"/>
      <c r="AC7" s="284"/>
      <c r="AD7" s="285"/>
      <c r="AE7" s="284"/>
      <c r="AF7" s="284"/>
      <c r="AG7" s="284"/>
      <c r="AH7" s="284"/>
      <c r="AI7" s="284"/>
      <c r="AJ7" s="284"/>
      <c r="AK7" s="285"/>
      <c r="AL7" s="286"/>
      <c r="AM7" s="278"/>
      <c r="AN7" s="278"/>
      <c r="AO7" s="286"/>
      <c r="AP7" s="105"/>
      <c r="AQ7" s="3"/>
    </row>
    <row r="8" spans="1:43" ht="15" customHeight="1" x14ac:dyDescent="0.2">
      <c r="A8" s="2"/>
      <c r="B8" s="108"/>
      <c r="C8" s="128" t="s">
        <v>12</v>
      </c>
      <c r="D8" s="128"/>
      <c r="E8" s="1485"/>
      <c r="F8" s="1465"/>
      <c r="G8" s="1465"/>
      <c r="H8" s="1465"/>
      <c r="I8" s="128"/>
      <c r="J8" s="128"/>
      <c r="K8" s="128" t="s">
        <v>13</v>
      </c>
      <c r="L8" s="128"/>
      <c r="M8" s="141"/>
      <c r="N8" s="141"/>
      <c r="O8" s="1466"/>
      <c r="P8" s="1465"/>
      <c r="Q8" s="85"/>
      <c r="R8" s="85"/>
      <c r="S8" s="1470"/>
      <c r="T8" s="1471"/>
      <c r="U8" s="1471"/>
      <c r="V8" s="1471"/>
      <c r="W8" s="1472"/>
      <c r="X8" s="87"/>
      <c r="Y8" s="3"/>
      <c r="Z8" s="2"/>
      <c r="AA8" s="99"/>
      <c r="AB8" s="255"/>
      <c r="AC8" s="284"/>
      <c r="AD8" s="285"/>
      <c r="AE8" s="284"/>
      <c r="AF8" s="284"/>
      <c r="AG8" s="284"/>
      <c r="AH8" s="284"/>
      <c r="AI8" s="284"/>
      <c r="AJ8" s="284"/>
      <c r="AK8" s="287"/>
      <c r="AL8" s="288"/>
      <c r="AM8" s="158"/>
      <c r="AN8" s="158"/>
      <c r="AO8" s="289"/>
      <c r="AP8" s="105"/>
      <c r="AQ8" s="3"/>
    </row>
    <row r="9" spans="1:43" ht="15" customHeight="1" x14ac:dyDescent="0.2">
      <c r="A9" s="2"/>
      <c r="B9" s="108"/>
      <c r="C9" s="128" t="s">
        <v>129</v>
      </c>
      <c r="D9" s="128"/>
      <c r="E9" s="1485"/>
      <c r="F9" s="1465"/>
      <c r="G9" s="1465"/>
      <c r="H9" s="1465"/>
      <c r="I9" s="128"/>
      <c r="J9" s="128"/>
      <c r="K9" s="128" t="s">
        <v>126</v>
      </c>
      <c r="L9" s="128"/>
      <c r="M9" s="141"/>
      <c r="N9" s="141"/>
      <c r="O9" s="1466"/>
      <c r="P9" s="1465"/>
      <c r="Q9" s="85"/>
      <c r="R9" s="85"/>
      <c r="S9" s="1470"/>
      <c r="T9" s="1471"/>
      <c r="U9" s="1471"/>
      <c r="V9" s="1471"/>
      <c r="W9" s="1472"/>
      <c r="X9" s="87"/>
      <c r="Y9" s="3"/>
      <c r="Z9" s="2"/>
      <c r="AA9" s="99"/>
      <c r="AB9" s="290"/>
      <c r="AC9" s="290"/>
      <c r="AD9" s="291"/>
      <c r="AE9" s="288"/>
      <c r="AF9" s="292"/>
      <c r="AG9" s="292"/>
      <c r="AH9" s="292"/>
      <c r="AI9" s="292"/>
      <c r="AJ9" s="292"/>
      <c r="AK9" s="287"/>
      <c r="AL9" s="286"/>
      <c r="AM9" s="255"/>
      <c r="AN9" s="277"/>
      <c r="AO9" s="293"/>
      <c r="AP9" s="105"/>
      <c r="AQ9" s="3"/>
    </row>
    <row r="10" spans="1:43" ht="15" customHeight="1" x14ac:dyDescent="0.2">
      <c r="A10" s="2"/>
      <c r="B10" s="108"/>
      <c r="C10" s="50"/>
      <c r="D10" s="53"/>
      <c r="E10" s="53"/>
      <c r="F10" s="53"/>
      <c r="G10" s="53"/>
      <c r="H10" s="53"/>
      <c r="I10" s="53"/>
      <c r="J10" s="53"/>
      <c r="K10" s="53"/>
      <c r="L10" s="53"/>
      <c r="M10" s="53"/>
      <c r="N10" s="53"/>
      <c r="O10" s="53"/>
      <c r="P10" s="53"/>
      <c r="Q10" s="85"/>
      <c r="R10" s="85"/>
      <c r="S10" s="1470"/>
      <c r="T10" s="1471"/>
      <c r="U10" s="1471"/>
      <c r="V10" s="1471"/>
      <c r="W10" s="1472"/>
      <c r="X10" s="87"/>
      <c r="Y10" s="3"/>
      <c r="Z10" s="2"/>
      <c r="AA10" s="99"/>
      <c r="AB10" s="290"/>
      <c r="AC10" s="290"/>
      <c r="AD10" s="291"/>
      <c r="AE10" s="288"/>
      <c r="AF10" s="292"/>
      <c r="AG10" s="292"/>
      <c r="AH10" s="292"/>
      <c r="AI10" s="292"/>
      <c r="AJ10" s="292"/>
      <c r="AK10" s="287"/>
      <c r="AL10" s="286"/>
      <c r="AM10" s="255"/>
      <c r="AN10" s="277"/>
      <c r="AO10" s="293"/>
      <c r="AP10" s="105"/>
      <c r="AQ10" s="3"/>
    </row>
    <row r="11" spans="1:43" ht="3.6" customHeight="1" thickBot="1" x14ac:dyDescent="0.25">
      <c r="A11" s="2"/>
      <c r="B11" s="108"/>
      <c r="C11" s="86"/>
      <c r="D11" s="85"/>
      <c r="E11" s="85"/>
      <c r="F11" s="85"/>
      <c r="G11" s="85"/>
      <c r="H11" s="85"/>
      <c r="I11" s="85"/>
      <c r="J11" s="85"/>
      <c r="K11" s="86"/>
      <c r="L11" s="85"/>
      <c r="M11" s="85"/>
      <c r="N11" s="961"/>
      <c r="O11" s="85"/>
      <c r="P11" s="85"/>
      <c r="Q11" s="85"/>
      <c r="R11" s="85"/>
      <c r="S11" s="1473"/>
      <c r="T11" s="1474"/>
      <c r="U11" s="1474"/>
      <c r="V11" s="1474"/>
      <c r="W11" s="1475"/>
      <c r="X11" s="87"/>
      <c r="Y11" s="3"/>
      <c r="Z11" s="2"/>
      <c r="AA11" s="99"/>
      <c r="AB11" s="281" t="s">
        <v>48</v>
      </c>
      <c r="AC11" s="282" t="s">
        <v>49</v>
      </c>
      <c r="AD11" s="282" t="s">
        <v>50</v>
      </c>
      <c r="AE11" s="282" t="s">
        <v>51</v>
      </c>
      <c r="AF11" s="282" t="s">
        <v>52</v>
      </c>
      <c r="AG11" s="282" t="s">
        <v>53</v>
      </c>
      <c r="AH11" s="282" t="s">
        <v>54</v>
      </c>
      <c r="AI11" s="282" t="s">
        <v>55</v>
      </c>
      <c r="AJ11" s="282" t="s">
        <v>56</v>
      </c>
      <c r="AK11" s="283" t="s">
        <v>57</v>
      </c>
      <c r="AL11" s="283"/>
      <c r="AM11" s="283" t="s">
        <v>58</v>
      </c>
      <c r="AN11" s="282"/>
      <c r="AO11" s="282"/>
      <c r="AP11" s="105"/>
      <c r="AQ11" s="3"/>
    </row>
    <row r="12" spans="1:43" ht="12" customHeight="1" thickBot="1" x14ac:dyDescent="0.25">
      <c r="A12" s="2"/>
      <c r="B12" s="108"/>
      <c r="C12" s="128" t="s">
        <v>14</v>
      </c>
      <c r="D12" s="85"/>
      <c r="E12" s="85"/>
      <c r="F12" s="85"/>
      <c r="G12" s="741" t="s">
        <v>3042</v>
      </c>
      <c r="H12" s="85"/>
      <c r="I12" s="85"/>
      <c r="J12" s="85"/>
      <c r="K12" s="86"/>
      <c r="L12" s="85"/>
      <c r="M12" s="960"/>
      <c r="N12" s="962">
        <f>40+PNS</f>
        <v>40</v>
      </c>
      <c r="O12" s="85"/>
      <c r="P12" s="148"/>
      <c r="Q12" s="149" t="s">
        <v>3330</v>
      </c>
      <c r="R12" s="85"/>
      <c r="S12" s="431"/>
      <c r="T12" s="435"/>
      <c r="U12" s="433" t="s">
        <v>3069</v>
      </c>
      <c r="V12" s="432"/>
      <c r="W12" s="434"/>
      <c r="X12" s="87"/>
      <c r="Y12" s="3"/>
      <c r="Z12" s="2"/>
      <c r="AA12" s="99"/>
      <c r="AB12" s="281" t="s">
        <v>72</v>
      </c>
      <c r="AC12" s="282" t="s">
        <v>49</v>
      </c>
      <c r="AD12" s="282" t="s">
        <v>50</v>
      </c>
      <c r="AE12" s="282" t="s">
        <v>73</v>
      </c>
      <c r="AF12" s="282" t="s">
        <v>52</v>
      </c>
      <c r="AG12" s="282" t="s">
        <v>53</v>
      </c>
      <c r="AH12" s="282" t="s">
        <v>137</v>
      </c>
      <c r="AI12" s="282" t="s">
        <v>56</v>
      </c>
      <c r="AJ12" s="282" t="s">
        <v>74</v>
      </c>
      <c r="AK12" s="282" t="s">
        <v>75</v>
      </c>
      <c r="AL12" s="282" t="s">
        <v>52</v>
      </c>
      <c r="AM12" s="282" t="s">
        <v>76</v>
      </c>
      <c r="AN12" s="282" t="s">
        <v>77</v>
      </c>
      <c r="AO12" s="282" t="s">
        <v>78</v>
      </c>
      <c r="AP12" s="107"/>
      <c r="AQ12" s="3"/>
    </row>
    <row r="13" spans="1:43" ht="3.6" customHeight="1" x14ac:dyDescent="0.2">
      <c r="A13" s="2"/>
      <c r="B13" s="108"/>
      <c r="C13" s="86"/>
      <c r="D13" s="86"/>
      <c r="E13" s="86"/>
      <c r="F13" s="86"/>
      <c r="G13" s="85"/>
      <c r="H13" s="85"/>
      <c r="I13" s="85"/>
      <c r="J13" s="85"/>
      <c r="K13" s="86"/>
      <c r="L13" s="85"/>
      <c r="M13" s="85"/>
      <c r="N13" s="85"/>
      <c r="O13" s="85"/>
      <c r="P13" s="85"/>
      <c r="Q13" s="85"/>
      <c r="R13" s="85"/>
      <c r="S13" s="85"/>
      <c r="T13" s="85"/>
      <c r="U13" s="85"/>
      <c r="V13" s="85"/>
      <c r="W13" s="85"/>
      <c r="X13" s="87"/>
      <c r="Y13" s="3"/>
      <c r="Z13" s="2"/>
      <c r="AA13" s="99"/>
      <c r="AB13" s="138"/>
      <c r="AC13" s="138"/>
      <c r="AD13" s="138"/>
      <c r="AE13" s="138"/>
      <c r="AF13" s="138"/>
      <c r="AG13" s="138"/>
      <c r="AH13" s="138"/>
      <c r="AI13" s="138"/>
      <c r="AJ13" s="138"/>
      <c r="AK13" s="138"/>
      <c r="AL13" s="138"/>
      <c r="AM13" s="138"/>
      <c r="AN13" s="138"/>
      <c r="AO13" s="138"/>
      <c r="AP13" s="105"/>
      <c r="AQ13" s="3"/>
    </row>
    <row r="14" spans="1:43" ht="15" customHeight="1" x14ac:dyDescent="0.2">
      <c r="A14" s="2"/>
      <c r="B14" s="111"/>
      <c r="C14" s="129" t="s">
        <v>16</v>
      </c>
      <c r="D14" s="55"/>
      <c r="E14" s="55"/>
      <c r="F14" s="55"/>
      <c r="G14" s="56" t="s">
        <v>17</v>
      </c>
      <c r="H14" s="40">
        <v>10</v>
      </c>
      <c r="I14" s="54"/>
      <c r="J14" s="54"/>
      <c r="K14" s="56" t="s">
        <v>18</v>
      </c>
      <c r="L14" s="40">
        <f>INT(H14*0.8)</f>
        <v>8</v>
      </c>
      <c r="M14" s="54"/>
      <c r="N14" s="54"/>
      <c r="O14" s="54"/>
      <c r="P14" s="54"/>
      <c r="Q14" s="54"/>
      <c r="R14" s="54"/>
      <c r="S14" s="471"/>
      <c r="T14" s="430"/>
      <c r="U14" s="1142"/>
      <c r="V14" s="430"/>
      <c r="W14" s="1142"/>
      <c r="X14" s="476"/>
      <c r="Y14" s="3"/>
      <c r="Z14" s="2"/>
      <c r="AA14" s="99"/>
      <c r="AB14" s="255"/>
      <c r="AC14" s="255"/>
      <c r="AD14" s="294"/>
      <c r="AE14" s="255"/>
      <c r="AF14" s="255"/>
      <c r="AG14" s="255"/>
      <c r="AH14" s="255"/>
      <c r="AI14" s="255"/>
      <c r="AJ14" s="255"/>
      <c r="AK14" s="255"/>
      <c r="AL14" s="255"/>
      <c r="AM14" s="255"/>
      <c r="AN14" s="255"/>
      <c r="AO14" s="294"/>
      <c r="AP14" s="105"/>
      <c r="AQ14" s="3"/>
    </row>
    <row r="15" spans="1:43" ht="15" customHeight="1" x14ac:dyDescent="0.2">
      <c r="A15" s="2"/>
      <c r="B15" s="112"/>
      <c r="C15" s="132" t="s">
        <v>30</v>
      </c>
      <c r="D15" s="113"/>
      <c r="E15" s="113"/>
      <c r="F15" s="113"/>
      <c r="G15" s="114" t="s">
        <v>31</v>
      </c>
      <c r="H15" s="23">
        <f>MMC+MMP+MMS</f>
        <v>0</v>
      </c>
      <c r="I15" s="115"/>
      <c r="J15" s="115"/>
      <c r="K15" s="132" t="s">
        <v>32</v>
      </c>
      <c r="L15" s="115"/>
      <c r="M15" s="115"/>
      <c r="N15" s="115"/>
      <c r="O15" s="114" t="s">
        <v>33</v>
      </c>
      <c r="P15" s="40">
        <f>MRC+MRP+MRS</f>
        <v>0</v>
      </c>
      <c r="Q15" s="115"/>
      <c r="R15" s="115"/>
      <c r="S15" s="1144"/>
      <c r="T15" s="1143"/>
      <c r="U15" s="1143"/>
      <c r="V15" s="473"/>
      <c r="W15" s="473"/>
      <c r="X15" s="477"/>
      <c r="Y15" s="3"/>
      <c r="Z15" s="2"/>
      <c r="AA15" s="99"/>
      <c r="AB15" s="290"/>
      <c r="AC15" s="290"/>
      <c r="AD15" s="294"/>
      <c r="AE15" s="290"/>
      <c r="AF15" s="290"/>
      <c r="AG15" s="290"/>
      <c r="AH15" s="290"/>
      <c r="AI15" s="290"/>
      <c r="AJ15" s="290"/>
      <c r="AK15" s="290"/>
      <c r="AL15" s="290"/>
      <c r="AM15" s="290"/>
      <c r="AN15" s="290"/>
      <c r="AO15" s="291"/>
      <c r="AP15" s="105"/>
      <c r="AQ15" s="3"/>
    </row>
    <row r="16" spans="1:43" ht="15" customHeight="1" x14ac:dyDescent="0.2">
      <c r="A16" s="2"/>
      <c r="B16" s="112"/>
      <c r="C16" s="113"/>
      <c r="D16" s="113" t="s">
        <v>34</v>
      </c>
      <c r="E16" s="113"/>
      <c r="F16" s="113"/>
      <c r="G16" s="114" t="s">
        <v>35</v>
      </c>
      <c r="H16" s="23"/>
      <c r="I16" s="115"/>
      <c r="J16" s="115"/>
      <c r="K16" s="113"/>
      <c r="L16" s="113" t="s">
        <v>34</v>
      </c>
      <c r="M16" s="115"/>
      <c r="N16" s="115"/>
      <c r="O16" s="114" t="s">
        <v>36</v>
      </c>
      <c r="P16" s="40"/>
      <c r="Q16" s="115"/>
      <c r="R16" s="115"/>
      <c r="S16" s="471"/>
      <c r="T16" s="430"/>
      <c r="U16" s="1145"/>
      <c r="V16" s="473"/>
      <c r="W16" s="473"/>
      <c r="X16" s="477"/>
      <c r="Y16" s="3"/>
      <c r="Z16" s="2"/>
      <c r="AA16" s="99"/>
      <c r="AB16" s="290"/>
      <c r="AC16" s="290"/>
      <c r="AD16" s="294"/>
      <c r="AE16" s="290"/>
      <c r="AF16" s="290"/>
      <c r="AG16" s="290"/>
      <c r="AH16" s="290"/>
      <c r="AI16" s="290"/>
      <c r="AJ16" s="290"/>
      <c r="AK16" s="290"/>
      <c r="AL16" s="290"/>
      <c r="AM16" s="290"/>
      <c r="AN16" s="290"/>
      <c r="AO16" s="291"/>
      <c r="AP16" s="105"/>
      <c r="AQ16" s="3"/>
    </row>
    <row r="17" spans="1:43" ht="15" customHeight="1" x14ac:dyDescent="0.2">
      <c r="A17" s="2"/>
      <c r="B17" s="112"/>
      <c r="C17" s="113"/>
      <c r="D17" s="113" t="s">
        <v>37</v>
      </c>
      <c r="E17" s="113"/>
      <c r="F17" s="113"/>
      <c r="G17" s="114" t="s">
        <v>38</v>
      </c>
      <c r="H17" s="23"/>
      <c r="I17" s="115"/>
      <c r="J17" s="115"/>
      <c r="K17" s="113"/>
      <c r="L17" s="113" t="s">
        <v>37</v>
      </c>
      <c r="M17" s="115"/>
      <c r="N17" s="115"/>
      <c r="O17" s="114" t="s">
        <v>39</v>
      </c>
      <c r="P17" s="40"/>
      <c r="Q17" s="115"/>
      <c r="R17" s="115"/>
      <c r="S17" s="472"/>
      <c r="T17" s="473"/>
      <c r="U17" s="429"/>
      <c r="V17" s="473"/>
      <c r="W17" s="429"/>
      <c r="X17" s="477"/>
      <c r="Y17" s="3"/>
      <c r="Z17" s="2"/>
      <c r="AA17" s="99"/>
      <c r="AB17" s="290"/>
      <c r="AC17" s="290"/>
      <c r="AD17" s="294"/>
      <c r="AE17" s="288"/>
      <c r="AF17" s="292"/>
      <c r="AG17" s="292"/>
      <c r="AH17" s="292"/>
      <c r="AI17" s="292"/>
      <c r="AJ17" s="292"/>
      <c r="AK17" s="292"/>
      <c r="AL17" s="285"/>
      <c r="AM17" s="290"/>
      <c r="AN17" s="290"/>
      <c r="AO17" s="291"/>
      <c r="AP17" s="105"/>
      <c r="AQ17" s="3"/>
    </row>
    <row r="18" spans="1:43" ht="15" customHeight="1" x14ac:dyDescent="0.2">
      <c r="A18" s="2"/>
      <c r="B18" s="112"/>
      <c r="C18" s="113"/>
      <c r="D18" s="113" t="s">
        <v>40</v>
      </c>
      <c r="E18" s="113"/>
      <c r="F18" s="113"/>
      <c r="G18" s="114" t="s">
        <v>41</v>
      </c>
      <c r="H18" s="23"/>
      <c r="I18" s="115"/>
      <c r="J18" s="115"/>
      <c r="K18" s="113"/>
      <c r="L18" s="113" t="s">
        <v>40</v>
      </c>
      <c r="M18" s="115"/>
      <c r="N18" s="115"/>
      <c r="O18" s="114" t="s">
        <v>42</v>
      </c>
      <c r="P18" s="40"/>
      <c r="Q18" s="115"/>
      <c r="R18" s="115"/>
      <c r="S18" s="472"/>
      <c r="T18" s="473"/>
      <c r="U18" s="429"/>
      <c r="V18" s="473"/>
      <c r="W18" s="473"/>
      <c r="X18" s="477"/>
      <c r="Y18" s="3"/>
      <c r="Z18" s="2"/>
      <c r="AA18" s="99"/>
      <c r="AB18" s="295" t="s">
        <v>19</v>
      </c>
      <c r="AC18" s="295" t="s">
        <v>20</v>
      </c>
      <c r="AD18" s="295"/>
      <c r="AE18" s="296" t="s">
        <v>28</v>
      </c>
      <c r="AF18" s="296" t="s">
        <v>21</v>
      </c>
      <c r="AG18" s="296" t="s">
        <v>22</v>
      </c>
      <c r="AH18" s="296" t="s">
        <v>23</v>
      </c>
      <c r="AI18" s="296" t="s">
        <v>24</v>
      </c>
      <c r="AJ18" s="296" t="s">
        <v>25</v>
      </c>
      <c r="AK18" s="296" t="s">
        <v>26</v>
      </c>
      <c r="AL18" s="296" t="s">
        <v>27</v>
      </c>
      <c r="AM18" s="295" t="s">
        <v>29</v>
      </c>
      <c r="AN18" s="295"/>
      <c r="AO18" s="295"/>
      <c r="AP18" s="105"/>
      <c r="AQ18" s="3"/>
    </row>
    <row r="19" spans="1:43" ht="3.6" customHeight="1" x14ac:dyDescent="0.2">
      <c r="A19" s="2"/>
      <c r="B19" s="112"/>
      <c r="C19" s="113"/>
      <c r="D19" s="115"/>
      <c r="E19" s="115"/>
      <c r="F19" s="113"/>
      <c r="G19" s="115"/>
      <c r="H19" s="115"/>
      <c r="I19" s="115"/>
      <c r="J19" s="115"/>
      <c r="K19" s="113"/>
      <c r="L19" s="113"/>
      <c r="M19" s="113"/>
      <c r="N19" s="113"/>
      <c r="O19" s="115"/>
      <c r="P19" s="115"/>
      <c r="Q19" s="115"/>
      <c r="R19" s="115"/>
      <c r="S19" s="142">
        <v>1</v>
      </c>
      <c r="T19" s="143"/>
      <c r="U19" s="144"/>
      <c r="V19" s="143"/>
      <c r="W19" s="143"/>
      <c r="X19" s="145"/>
      <c r="Y19" s="3"/>
      <c r="Z19" s="2"/>
      <c r="AA19" s="99"/>
      <c r="AB19" s="160"/>
      <c r="AC19" s="160"/>
      <c r="AD19" s="160"/>
      <c r="AE19" s="160"/>
      <c r="AF19" s="160"/>
      <c r="AG19" s="160"/>
      <c r="AH19" s="160"/>
      <c r="AI19" s="160"/>
      <c r="AJ19" s="160"/>
      <c r="AK19" s="160"/>
      <c r="AL19" s="160"/>
      <c r="AM19" s="160"/>
      <c r="AN19" s="160"/>
      <c r="AO19" s="160"/>
      <c r="AP19" s="105"/>
      <c r="AQ19" s="3"/>
    </row>
    <row r="20" spans="1:43" ht="15" customHeight="1" x14ac:dyDescent="0.2">
      <c r="A20" s="2"/>
      <c r="B20" s="116"/>
      <c r="C20" s="130" t="s">
        <v>43</v>
      </c>
      <c r="D20" s="57"/>
      <c r="E20" s="58"/>
      <c r="F20" s="57"/>
      <c r="G20" s="59" t="s">
        <v>44</v>
      </c>
      <c r="H20" s="40">
        <f>PM+PN</f>
        <v>0</v>
      </c>
      <c r="I20" s="57"/>
      <c r="J20" s="57"/>
      <c r="K20" s="59" t="s">
        <v>45</v>
      </c>
      <c r="L20" s="40">
        <f>INT(H20*0.1)</f>
        <v>0</v>
      </c>
      <c r="M20" s="59" t="s">
        <v>46</v>
      </c>
      <c r="N20" s="40">
        <f>INT(H20*0.75)</f>
        <v>0</v>
      </c>
      <c r="O20" s="59" t="s">
        <v>47</v>
      </c>
      <c r="P20" s="40"/>
      <c r="Q20" s="57"/>
      <c r="R20" s="57"/>
      <c r="S20" s="474">
        <f>P</f>
        <v>0</v>
      </c>
      <c r="T20" s="430"/>
      <c r="U20" s="475"/>
      <c r="V20" s="430"/>
      <c r="W20" s="430"/>
      <c r="X20" s="476"/>
      <c r="Y20" s="3"/>
      <c r="Z20" s="2"/>
      <c r="AA20" s="99"/>
      <c r="AB20" s="290"/>
      <c r="AC20" s="290"/>
      <c r="AD20" s="289"/>
      <c r="AE20" s="288"/>
      <c r="AF20" s="292"/>
      <c r="AG20" s="292"/>
      <c r="AH20" s="292"/>
      <c r="AI20" s="292"/>
      <c r="AJ20" s="292"/>
      <c r="AK20" s="292"/>
      <c r="AL20" s="287"/>
      <c r="AM20" s="290"/>
      <c r="AN20" s="158"/>
      <c r="AO20" s="289"/>
      <c r="AP20" s="107"/>
      <c r="AQ20" s="3"/>
    </row>
    <row r="21" spans="1:43" ht="15" customHeight="1" x14ac:dyDescent="0.2">
      <c r="A21" s="2"/>
      <c r="B21" s="117"/>
      <c r="C21" s="133" t="s">
        <v>59</v>
      </c>
      <c r="D21" s="118"/>
      <c r="E21" s="119"/>
      <c r="F21" s="118"/>
      <c r="G21" s="120" t="s">
        <v>60</v>
      </c>
      <c r="H21" s="23">
        <f>SUM(H22:H24)</f>
        <v>0</v>
      </c>
      <c r="I21" s="119"/>
      <c r="J21" s="119"/>
      <c r="K21" s="133" t="s">
        <v>61</v>
      </c>
      <c r="L21" s="118"/>
      <c r="M21" s="119"/>
      <c r="N21" s="119"/>
      <c r="O21" s="120" t="s">
        <v>62</v>
      </c>
      <c r="P21" s="23">
        <f>SUM(P22:P24)</f>
        <v>0</v>
      </c>
      <c r="Q21" s="119"/>
      <c r="R21" s="119"/>
      <c r="S21" s="472"/>
      <c r="T21" s="473"/>
      <c r="U21" s="429"/>
      <c r="V21" s="473"/>
      <c r="W21" s="473"/>
      <c r="X21" s="477"/>
      <c r="Y21" s="3"/>
      <c r="Z21" s="2"/>
      <c r="AA21" s="99"/>
      <c r="AB21" s="290"/>
      <c r="AC21" s="290"/>
      <c r="AD21" s="289"/>
      <c r="AE21" s="288"/>
      <c r="AF21" s="292"/>
      <c r="AG21" s="292"/>
      <c r="AH21" s="292"/>
      <c r="AI21" s="292"/>
      <c r="AJ21" s="292"/>
      <c r="AK21" s="292"/>
      <c r="AL21" s="285"/>
      <c r="AM21" s="255"/>
      <c r="AN21" s="277"/>
      <c r="AO21" s="293"/>
      <c r="AP21" s="100"/>
      <c r="AQ21" s="5"/>
    </row>
    <row r="22" spans="1:43" ht="15" customHeight="1" x14ac:dyDescent="0.2">
      <c r="A22" s="2"/>
      <c r="B22" s="117"/>
      <c r="C22" s="118"/>
      <c r="D22" s="118" t="s">
        <v>34</v>
      </c>
      <c r="E22" s="118"/>
      <c r="F22" s="118"/>
      <c r="G22" s="120" t="s">
        <v>63</v>
      </c>
      <c r="H22" s="23"/>
      <c r="I22" s="119"/>
      <c r="J22" s="119"/>
      <c r="K22" s="118"/>
      <c r="L22" s="118" t="s">
        <v>34</v>
      </c>
      <c r="M22" s="119"/>
      <c r="N22" s="119"/>
      <c r="O22" s="120" t="s">
        <v>64</v>
      </c>
      <c r="P22" s="23"/>
      <c r="Q22" s="119"/>
      <c r="R22" s="119"/>
      <c r="S22" s="472"/>
      <c r="T22" s="473"/>
      <c r="U22" s="429"/>
      <c r="V22" s="473"/>
      <c r="W22" s="473"/>
      <c r="X22" s="477"/>
      <c r="Y22" s="3"/>
      <c r="Z22" s="2"/>
      <c r="AA22" s="99"/>
      <c r="AB22" s="290"/>
      <c r="AC22" s="290"/>
      <c r="AD22" s="289"/>
      <c r="AE22" s="288"/>
      <c r="AF22" s="292"/>
      <c r="AG22" s="292"/>
      <c r="AH22" s="292"/>
      <c r="AI22" s="292"/>
      <c r="AJ22" s="292"/>
      <c r="AK22" s="292"/>
      <c r="AL22" s="285"/>
      <c r="AM22" s="255"/>
      <c r="AN22" s="277"/>
      <c r="AO22" s="293"/>
      <c r="AP22" s="100"/>
      <c r="AQ22" s="5"/>
    </row>
    <row r="23" spans="1:43" ht="15" customHeight="1" x14ac:dyDescent="0.2">
      <c r="A23" s="2"/>
      <c r="B23" s="117"/>
      <c r="C23" s="118"/>
      <c r="D23" s="118" t="s">
        <v>37</v>
      </c>
      <c r="E23" s="118"/>
      <c r="F23" s="118"/>
      <c r="G23" s="120" t="s">
        <v>65</v>
      </c>
      <c r="H23" s="23"/>
      <c r="I23" s="119"/>
      <c r="J23" s="119"/>
      <c r="K23" s="118"/>
      <c r="L23" s="118" t="s">
        <v>37</v>
      </c>
      <c r="M23" s="119"/>
      <c r="N23" s="119"/>
      <c r="O23" s="120" t="s">
        <v>66</v>
      </c>
      <c r="P23" s="23"/>
      <c r="Q23" s="119"/>
      <c r="R23" s="119"/>
      <c r="S23" s="472"/>
      <c r="T23" s="473"/>
      <c r="U23" s="429"/>
      <c r="V23" s="473"/>
      <c r="W23" s="473"/>
      <c r="X23" s="477"/>
      <c r="Y23" s="3"/>
      <c r="Z23" s="2"/>
      <c r="AA23" s="99"/>
      <c r="AB23" s="290"/>
      <c r="AC23" s="290"/>
      <c r="AD23" s="289"/>
      <c r="AE23" s="288"/>
      <c r="AF23" s="292"/>
      <c r="AG23" s="292"/>
      <c r="AH23" s="292"/>
      <c r="AI23" s="292"/>
      <c r="AJ23" s="292"/>
      <c r="AK23" s="292"/>
      <c r="AL23" s="285"/>
      <c r="AM23" s="255"/>
      <c r="AN23" s="277"/>
      <c r="AO23" s="293"/>
      <c r="AP23" s="100"/>
      <c r="AQ23" s="5"/>
    </row>
    <row r="24" spans="1:43" ht="15" customHeight="1" x14ac:dyDescent="0.2">
      <c r="A24" s="2"/>
      <c r="B24" s="117"/>
      <c r="C24" s="118"/>
      <c r="D24" s="118" t="s">
        <v>40</v>
      </c>
      <c r="E24" s="118"/>
      <c r="F24" s="118"/>
      <c r="G24" s="120" t="s">
        <v>67</v>
      </c>
      <c r="H24" s="23"/>
      <c r="I24" s="119"/>
      <c r="J24" s="119"/>
      <c r="K24" s="118"/>
      <c r="L24" s="118" t="s">
        <v>40</v>
      </c>
      <c r="M24" s="119"/>
      <c r="N24" s="119"/>
      <c r="O24" s="120" t="s">
        <v>68</v>
      </c>
      <c r="P24" s="23"/>
      <c r="Q24" s="119"/>
      <c r="R24" s="119"/>
      <c r="S24" s="472"/>
      <c r="T24" s="473"/>
      <c r="U24" s="429"/>
      <c r="V24" s="473"/>
      <c r="W24" s="473"/>
      <c r="X24" s="477"/>
      <c r="Y24" s="3"/>
      <c r="Z24" s="2"/>
      <c r="AA24" s="99"/>
      <c r="AB24" s="138" t="s">
        <v>1909</v>
      </c>
      <c r="AC24" s="100"/>
      <c r="AD24" s="100"/>
      <c r="AE24" s="100"/>
      <c r="AF24" s="100"/>
      <c r="AG24" s="100"/>
      <c r="AH24" s="100"/>
      <c r="AI24" s="100"/>
      <c r="AJ24" s="100"/>
      <c r="AK24" s="100"/>
      <c r="AL24" s="100"/>
      <c r="AM24" s="100"/>
      <c r="AN24" s="100"/>
      <c r="AO24" s="100"/>
      <c r="AP24" s="100"/>
      <c r="AQ24" s="5"/>
    </row>
    <row r="25" spans="1:43" ht="3.6" customHeight="1" x14ac:dyDescent="0.2">
      <c r="A25" s="2"/>
      <c r="B25" s="121"/>
      <c r="C25" s="122"/>
      <c r="D25" s="123"/>
      <c r="E25" s="123"/>
      <c r="F25" s="122"/>
      <c r="G25" s="123"/>
      <c r="H25" s="123"/>
      <c r="I25" s="123"/>
      <c r="J25" s="123"/>
      <c r="K25" s="122"/>
      <c r="L25" s="122"/>
      <c r="M25" s="122"/>
      <c r="N25" s="122"/>
      <c r="O25" s="123"/>
      <c r="P25" s="123"/>
      <c r="Q25" s="123"/>
      <c r="R25" s="123"/>
      <c r="S25" s="121"/>
      <c r="T25" s="123"/>
      <c r="U25" s="122"/>
      <c r="V25" s="123"/>
      <c r="W25" s="123"/>
      <c r="X25" s="124"/>
      <c r="Y25" s="3"/>
      <c r="Z25" s="2"/>
      <c r="AA25" s="99"/>
      <c r="AB25" s="100"/>
      <c r="AC25" s="100"/>
      <c r="AD25" s="100"/>
      <c r="AE25" s="100"/>
      <c r="AF25" s="100"/>
      <c r="AG25" s="100"/>
      <c r="AH25" s="100"/>
      <c r="AI25" s="100"/>
      <c r="AJ25" s="100"/>
      <c r="AK25" s="100"/>
      <c r="AL25" s="100"/>
      <c r="AM25" s="100"/>
      <c r="AN25" s="100"/>
      <c r="AO25" s="100"/>
      <c r="AP25" s="100"/>
      <c r="AQ25" s="5"/>
    </row>
    <row r="26" spans="1:43" ht="15" customHeight="1" x14ac:dyDescent="0.2">
      <c r="A26" s="2"/>
      <c r="B26" s="125"/>
      <c r="C26" s="131" t="s">
        <v>69</v>
      </c>
      <c r="D26" s="60"/>
      <c r="E26" s="61"/>
      <c r="F26" s="60"/>
      <c r="G26" s="62" t="s">
        <v>70</v>
      </c>
      <c r="H26" s="40">
        <f>SM+SP</f>
        <v>0</v>
      </c>
      <c r="I26" s="60"/>
      <c r="J26" s="60"/>
      <c r="K26" s="62" t="s">
        <v>18</v>
      </c>
      <c r="L26" s="40">
        <f>INT(H26*0.8)</f>
        <v>0</v>
      </c>
      <c r="M26" s="61"/>
      <c r="N26" s="61"/>
      <c r="O26" s="60"/>
      <c r="P26" s="60"/>
      <c r="Q26" s="60"/>
      <c r="R26" s="60"/>
      <c r="S26" s="478" t="s">
        <v>71</v>
      </c>
      <c r="T26" s="473"/>
      <c r="U26" s="479"/>
      <c r="V26" s="473"/>
      <c r="W26" s="429"/>
      <c r="X26" s="480"/>
      <c r="Y26" s="3"/>
      <c r="Z26" s="2"/>
      <c r="AA26" s="99"/>
      <c r="AB26" s="45"/>
      <c r="AC26" s="47"/>
      <c r="AD26" s="45"/>
      <c r="AE26" s="46"/>
      <c r="AF26" s="46"/>
      <c r="AG26" s="46"/>
      <c r="AH26" s="46"/>
      <c r="AI26" s="46"/>
      <c r="AJ26" s="45"/>
      <c r="AK26" s="46"/>
      <c r="AL26" s="46"/>
      <c r="AM26" s="46"/>
      <c r="AN26" s="46"/>
      <c r="AO26" s="47"/>
      <c r="AP26" s="100"/>
      <c r="AQ26" s="5"/>
    </row>
    <row r="27" spans="1:43" ht="15" customHeight="1" x14ac:dyDescent="0.2">
      <c r="A27" s="2"/>
      <c r="B27" s="125"/>
      <c r="C27" s="134" t="s">
        <v>79</v>
      </c>
      <c r="D27" s="61"/>
      <c r="E27" s="61"/>
      <c r="F27" s="61"/>
      <c r="G27" s="62" t="s">
        <v>80</v>
      </c>
      <c r="H27" s="23"/>
      <c r="I27" s="60"/>
      <c r="J27" s="60"/>
      <c r="K27" s="134" t="s">
        <v>81</v>
      </c>
      <c r="L27" s="61"/>
      <c r="M27" s="61"/>
      <c r="N27" s="61"/>
      <c r="O27" s="62" t="s">
        <v>82</v>
      </c>
      <c r="P27" s="40">
        <f>SUM(P28:P30)</f>
        <v>0</v>
      </c>
      <c r="Q27" s="60"/>
      <c r="R27" s="60"/>
      <c r="S27" s="481" t="s">
        <v>83</v>
      </c>
      <c r="T27" s="473"/>
      <c r="U27" s="429"/>
      <c r="V27" s="482"/>
      <c r="W27" s="429"/>
      <c r="X27" s="480"/>
      <c r="Y27" s="3"/>
      <c r="Z27" s="2"/>
      <c r="AA27" s="99"/>
      <c r="AB27" s="43"/>
      <c r="AC27" s="44"/>
      <c r="AD27" s="43"/>
      <c r="AE27" s="48"/>
      <c r="AF27" s="46"/>
      <c r="AG27" s="46"/>
      <c r="AH27" s="46"/>
      <c r="AI27" s="48"/>
      <c r="AJ27" s="43"/>
      <c r="AK27" s="48"/>
      <c r="AL27" s="48"/>
      <c r="AM27" s="48"/>
      <c r="AN27" s="48"/>
      <c r="AO27" s="44"/>
      <c r="AP27" s="100"/>
      <c r="AQ27" s="5"/>
    </row>
    <row r="28" spans="1:43" ht="15" customHeight="1" x14ac:dyDescent="0.2">
      <c r="A28" s="2"/>
      <c r="B28" s="125"/>
      <c r="C28" s="61"/>
      <c r="D28" s="61" t="s">
        <v>34</v>
      </c>
      <c r="E28" s="61"/>
      <c r="F28" s="60"/>
      <c r="G28" s="62" t="s">
        <v>84</v>
      </c>
      <c r="H28" s="23"/>
      <c r="I28" s="60"/>
      <c r="J28" s="60"/>
      <c r="K28" s="61"/>
      <c r="L28" s="61" t="s">
        <v>34</v>
      </c>
      <c r="M28" s="60"/>
      <c r="N28" s="61"/>
      <c r="O28" s="62" t="s">
        <v>85</v>
      </c>
      <c r="P28" s="23"/>
      <c r="Q28" s="60"/>
      <c r="R28" s="60"/>
      <c r="S28" s="481" t="s">
        <v>83</v>
      </c>
      <c r="T28" s="473"/>
      <c r="U28" s="429"/>
      <c r="V28" s="482"/>
      <c r="W28" s="429"/>
      <c r="X28" s="480"/>
      <c r="Y28" s="3"/>
      <c r="Z28" s="2"/>
      <c r="AA28" s="99"/>
      <c r="AB28" s="43"/>
      <c r="AC28" s="44"/>
      <c r="AD28" s="43"/>
      <c r="AE28" s="48"/>
      <c r="AF28" s="46"/>
      <c r="AG28" s="46"/>
      <c r="AH28" s="46"/>
      <c r="AI28" s="48"/>
      <c r="AJ28" s="43"/>
      <c r="AK28" s="48"/>
      <c r="AL28" s="48"/>
      <c r="AM28" s="48"/>
      <c r="AN28" s="48"/>
      <c r="AO28" s="44"/>
      <c r="AP28" s="100"/>
      <c r="AQ28" s="5"/>
    </row>
    <row r="29" spans="1:43" ht="15" customHeight="1" x14ac:dyDescent="0.2">
      <c r="A29" s="2"/>
      <c r="B29" s="125"/>
      <c r="C29" s="61"/>
      <c r="D29" s="61" t="s">
        <v>37</v>
      </c>
      <c r="E29" s="61"/>
      <c r="F29" s="61"/>
      <c r="G29" s="62" t="s">
        <v>86</v>
      </c>
      <c r="H29" s="23"/>
      <c r="I29" s="60"/>
      <c r="J29" s="60"/>
      <c r="K29" s="61"/>
      <c r="L29" s="61" t="s">
        <v>37</v>
      </c>
      <c r="M29" s="60"/>
      <c r="N29" s="61"/>
      <c r="O29" s="62" t="s">
        <v>87</v>
      </c>
      <c r="P29" s="23"/>
      <c r="Q29" s="60"/>
      <c r="R29" s="60"/>
      <c r="S29" s="481" t="s">
        <v>88</v>
      </c>
      <c r="T29" s="473"/>
      <c r="U29" s="429"/>
      <c r="V29" s="482"/>
      <c r="W29" s="429"/>
      <c r="X29" s="480"/>
      <c r="Y29" s="3"/>
      <c r="Z29" s="2"/>
      <c r="AA29" s="99"/>
      <c r="AB29" s="43"/>
      <c r="AC29" s="44"/>
      <c r="AD29" s="43"/>
      <c r="AE29" s="48"/>
      <c r="AF29" s="46"/>
      <c r="AG29" s="46"/>
      <c r="AH29" s="46"/>
      <c r="AI29" s="48"/>
      <c r="AJ29" s="43"/>
      <c r="AK29" s="48"/>
      <c r="AL29" s="48"/>
      <c r="AM29" s="48"/>
      <c r="AN29" s="48"/>
      <c r="AO29" s="44"/>
      <c r="AP29" s="100"/>
      <c r="AQ29" s="5"/>
    </row>
    <row r="30" spans="1:43" ht="15" customHeight="1" x14ac:dyDescent="0.2">
      <c r="A30" s="2"/>
      <c r="B30" s="125"/>
      <c r="C30" s="61"/>
      <c r="D30" s="61" t="s">
        <v>40</v>
      </c>
      <c r="E30" s="61"/>
      <c r="F30" s="61"/>
      <c r="G30" s="62" t="s">
        <v>89</v>
      </c>
      <c r="H30" s="23"/>
      <c r="I30" s="60"/>
      <c r="J30" s="60"/>
      <c r="K30" s="61"/>
      <c r="L30" s="61" t="s">
        <v>40</v>
      </c>
      <c r="M30" s="60"/>
      <c r="N30" s="60"/>
      <c r="O30" s="62" t="s">
        <v>90</v>
      </c>
      <c r="P30" s="23"/>
      <c r="Q30" s="60"/>
      <c r="R30" s="60"/>
      <c r="S30" s="481" t="s">
        <v>91</v>
      </c>
      <c r="T30" s="473"/>
      <c r="U30" s="429"/>
      <c r="V30" s="482"/>
      <c r="W30" s="429"/>
      <c r="X30" s="480"/>
      <c r="Y30" s="3"/>
      <c r="Z30" s="2"/>
      <c r="AA30" s="99"/>
      <c r="AB30" s="43"/>
      <c r="AC30" s="44"/>
      <c r="AD30" s="43"/>
      <c r="AE30" s="48"/>
      <c r="AF30" s="46"/>
      <c r="AG30" s="46"/>
      <c r="AH30" s="46"/>
      <c r="AI30" s="48"/>
      <c r="AJ30" s="43"/>
      <c r="AK30" s="48"/>
      <c r="AL30" s="48"/>
      <c r="AM30" s="48"/>
      <c r="AN30" s="48"/>
      <c r="AO30" s="44"/>
      <c r="AP30" s="100"/>
      <c r="AQ30" s="5"/>
    </row>
    <row r="31" spans="1:43" ht="3.6" customHeight="1" x14ac:dyDescent="0.2">
      <c r="A31" s="2"/>
      <c r="B31" s="126"/>
      <c r="C31" s="69"/>
      <c r="D31" s="70"/>
      <c r="E31" s="69"/>
      <c r="F31" s="69"/>
      <c r="G31" s="70"/>
      <c r="H31" s="70"/>
      <c r="I31" s="70"/>
      <c r="J31" s="70"/>
      <c r="K31" s="69"/>
      <c r="L31" s="70"/>
      <c r="M31" s="69"/>
      <c r="N31" s="70"/>
      <c r="O31" s="70"/>
      <c r="P31" s="70"/>
      <c r="Q31" s="70"/>
      <c r="R31" s="70"/>
      <c r="S31" s="126"/>
      <c r="T31" s="70"/>
      <c r="U31" s="70"/>
      <c r="V31" s="70"/>
      <c r="W31" s="70"/>
      <c r="X31" s="127"/>
      <c r="Y31" s="3"/>
      <c r="Z31" s="2"/>
      <c r="AA31" s="99"/>
      <c r="AB31" s="161"/>
      <c r="AC31" s="161"/>
      <c r="AD31" s="161"/>
      <c r="AE31" s="161"/>
      <c r="AF31" s="161"/>
      <c r="AG31" s="161"/>
      <c r="AH31" s="161"/>
      <c r="AI31" s="161"/>
      <c r="AJ31" s="161"/>
      <c r="AK31" s="161"/>
      <c r="AL31" s="161"/>
      <c r="AM31" s="161"/>
      <c r="AN31" s="161"/>
      <c r="AO31" s="161"/>
      <c r="AP31" s="100"/>
      <c r="AQ31" s="5"/>
    </row>
    <row r="32" spans="1:43" ht="3.6" customHeight="1" thickBot="1" x14ac:dyDescent="0.25">
      <c r="A32" s="2"/>
      <c r="B32" s="108"/>
      <c r="C32" s="86"/>
      <c r="D32" s="85"/>
      <c r="E32" s="86"/>
      <c r="F32" s="86"/>
      <c r="G32" s="85"/>
      <c r="H32" s="85"/>
      <c r="I32" s="85"/>
      <c r="J32" s="85"/>
      <c r="K32" s="86"/>
      <c r="L32" s="86"/>
      <c r="M32" s="86"/>
      <c r="N32" s="86"/>
      <c r="O32" s="85"/>
      <c r="P32" s="85"/>
      <c r="Q32" s="85"/>
      <c r="R32" s="85"/>
      <c r="S32" s="85"/>
      <c r="T32" s="88"/>
      <c r="U32" s="85"/>
      <c r="V32" s="85"/>
      <c r="W32" s="85"/>
      <c r="X32" s="87"/>
      <c r="Y32" s="3"/>
      <c r="Z32" s="2"/>
      <c r="AA32" s="99"/>
      <c r="AB32" s="161"/>
      <c r="AC32" s="161"/>
      <c r="AD32" s="161"/>
      <c r="AE32" s="161"/>
      <c r="AF32" s="161"/>
      <c r="AG32" s="161"/>
      <c r="AH32" s="161"/>
      <c r="AI32" s="161"/>
      <c r="AJ32" s="161"/>
      <c r="AK32" s="161"/>
      <c r="AL32" s="161"/>
      <c r="AM32" s="161"/>
      <c r="AN32" s="161"/>
      <c r="AO32" s="161"/>
      <c r="AP32" s="100"/>
      <c r="AQ32" s="5"/>
    </row>
    <row r="33" spans="1:50" ht="12" customHeight="1" thickBot="1" x14ac:dyDescent="0.25">
      <c r="A33" s="2"/>
      <c r="B33" s="108"/>
      <c r="C33" s="128" t="s">
        <v>92</v>
      </c>
      <c r="D33" s="85"/>
      <c r="E33" s="85"/>
      <c r="F33" s="85"/>
      <c r="G33" s="85"/>
      <c r="H33" s="297"/>
      <c r="I33" s="128"/>
      <c r="J33" s="128"/>
      <c r="K33" s="741" t="s">
        <v>2211</v>
      </c>
      <c r="L33" s="742"/>
      <c r="M33" s="741"/>
      <c r="N33" s="741" t="s">
        <v>2212</v>
      </c>
      <c r="O33" s="742"/>
      <c r="P33" s="741"/>
      <c r="Q33" s="741"/>
      <c r="R33" s="741" t="s">
        <v>2213</v>
      </c>
      <c r="S33" s="741"/>
      <c r="T33" s="742"/>
      <c r="U33" s="85"/>
      <c r="V33" s="85"/>
      <c r="W33" s="85"/>
      <c r="X33" s="87"/>
      <c r="Y33" s="3"/>
      <c r="Z33" s="2"/>
      <c r="AA33" s="99"/>
      <c r="AB33" s="138" t="s">
        <v>1990</v>
      </c>
      <c r="AC33" s="161"/>
      <c r="AD33" s="161"/>
      <c r="AE33" s="161"/>
      <c r="AF33" s="161"/>
      <c r="AG33" s="161"/>
      <c r="AH33" s="161"/>
      <c r="AI33" s="161"/>
      <c r="AJ33" s="161"/>
      <c r="AK33" s="161"/>
      <c r="AL33" s="161"/>
      <c r="AM33" s="161"/>
      <c r="AN33" s="161"/>
      <c r="AO33" s="161"/>
      <c r="AP33" s="100"/>
      <c r="AQ33" s="5"/>
    </row>
    <row r="34" spans="1:50" ht="3.6" customHeight="1" x14ac:dyDescent="0.2">
      <c r="A34" s="2"/>
      <c r="B34" s="108"/>
      <c r="C34" s="86"/>
      <c r="D34" s="86"/>
      <c r="E34" s="86"/>
      <c r="F34" s="86"/>
      <c r="G34" s="85"/>
      <c r="H34" s="85"/>
      <c r="I34" s="85"/>
      <c r="J34" s="85"/>
      <c r="K34" s="86"/>
      <c r="L34" s="86"/>
      <c r="M34" s="86"/>
      <c r="N34" s="85"/>
      <c r="O34" s="85"/>
      <c r="P34" s="85"/>
      <c r="Q34" s="85"/>
      <c r="R34" s="85"/>
      <c r="S34" s="85"/>
      <c r="T34" s="85"/>
      <c r="U34" s="85"/>
      <c r="V34" s="85"/>
      <c r="W34" s="85"/>
      <c r="X34" s="87"/>
      <c r="Y34" s="3"/>
      <c r="Z34" s="2"/>
      <c r="AA34" s="99"/>
      <c r="AB34" s="100"/>
      <c r="AC34" s="100"/>
      <c r="AD34" s="100"/>
      <c r="AE34" s="100"/>
      <c r="AF34" s="100"/>
      <c r="AG34" s="100"/>
      <c r="AH34" s="100"/>
      <c r="AI34" s="100"/>
      <c r="AJ34" s="100"/>
      <c r="AK34" s="100"/>
      <c r="AL34" s="100"/>
      <c r="AM34" s="100"/>
      <c r="AN34" s="100"/>
      <c r="AO34" s="100"/>
      <c r="AP34" s="99"/>
      <c r="AQ34" s="5"/>
    </row>
    <row r="35" spans="1:50" ht="15" customHeight="1" x14ac:dyDescent="0.2">
      <c r="A35" s="2"/>
      <c r="B35" s="30"/>
      <c r="C35" s="136" t="s">
        <v>93</v>
      </c>
      <c r="D35" s="27"/>
      <c r="E35" s="27"/>
      <c r="F35" s="32"/>
      <c r="G35" s="24"/>
      <c r="H35" s="24"/>
      <c r="I35" s="33"/>
      <c r="J35" s="25" t="s">
        <v>1991</v>
      </c>
      <c r="K35" s="25"/>
      <c r="L35" s="28"/>
      <c r="M35" s="28"/>
      <c r="N35" s="28"/>
      <c r="O35" s="25"/>
      <c r="P35" s="29"/>
      <c r="Q35" s="24"/>
      <c r="R35" s="25"/>
      <c r="S35" s="24"/>
      <c r="T35" s="24"/>
      <c r="U35" s="24"/>
      <c r="V35" s="24"/>
      <c r="W35" s="25"/>
      <c r="X35" s="35"/>
      <c r="Y35" s="3"/>
      <c r="Z35" s="2"/>
      <c r="AA35" s="99"/>
      <c r="AB35" s="45"/>
      <c r="AC35" s="47"/>
      <c r="AD35" s="45"/>
      <c r="AE35" s="46"/>
      <c r="AF35" s="46"/>
      <c r="AG35" s="46"/>
      <c r="AH35" s="46"/>
      <c r="AI35" s="46"/>
      <c r="AJ35" s="45"/>
      <c r="AK35" s="46"/>
      <c r="AL35" s="46"/>
      <c r="AM35" s="46"/>
      <c r="AN35" s="46"/>
      <c r="AO35" s="47"/>
      <c r="AP35" s="99"/>
      <c r="AQ35" s="5"/>
    </row>
    <row r="36" spans="1:50" ht="15" customHeight="1" x14ac:dyDescent="0.2">
      <c r="A36" s="2"/>
      <c r="B36" s="15"/>
      <c r="C36" s="26" t="s">
        <v>94</v>
      </c>
      <c r="D36" s="28"/>
      <c r="E36" s="38"/>
      <c r="F36" s="31"/>
      <c r="G36" s="26"/>
      <c r="H36" s="36"/>
      <c r="I36" s="16"/>
      <c r="J36" s="12"/>
      <c r="K36" s="78"/>
      <c r="L36" s="12"/>
      <c r="M36" s="12"/>
      <c r="N36" s="12"/>
      <c r="O36" s="12"/>
      <c r="P36" s="12"/>
      <c r="Q36" s="10"/>
      <c r="R36" s="12"/>
      <c r="S36" s="14"/>
      <c r="T36" s="14"/>
      <c r="U36" s="10"/>
      <c r="V36" s="10"/>
      <c r="W36" s="10"/>
      <c r="X36" s="18"/>
      <c r="Y36" s="3"/>
      <c r="Z36" s="2"/>
      <c r="AA36" s="99"/>
      <c r="AB36" s="43"/>
      <c r="AC36" s="44"/>
      <c r="AD36" s="43"/>
      <c r="AE36" s="48"/>
      <c r="AF36" s="46"/>
      <c r="AG36" s="46"/>
      <c r="AH36" s="46"/>
      <c r="AI36" s="48"/>
      <c r="AJ36" s="43"/>
      <c r="AK36" s="48"/>
      <c r="AL36" s="48"/>
      <c r="AM36" s="48"/>
      <c r="AN36" s="48"/>
      <c r="AO36" s="44"/>
      <c r="AP36" s="99"/>
      <c r="AQ36" s="5"/>
    </row>
    <row r="37" spans="1:50" ht="15" customHeight="1" x14ac:dyDescent="0.2">
      <c r="A37" s="2"/>
      <c r="B37" s="15"/>
      <c r="C37" s="12" t="s">
        <v>95</v>
      </c>
      <c r="D37" s="14"/>
      <c r="E37" s="21"/>
      <c r="F37" s="16"/>
      <c r="G37" s="12"/>
      <c r="H37" s="19"/>
      <c r="I37" s="16"/>
      <c r="J37" s="12"/>
      <c r="K37" s="12"/>
      <c r="L37" s="12"/>
      <c r="M37" s="12"/>
      <c r="N37" s="12"/>
      <c r="O37" s="12"/>
      <c r="P37" s="12"/>
      <c r="Q37" s="10"/>
      <c r="R37" s="12"/>
      <c r="S37" s="12"/>
      <c r="T37" s="14"/>
      <c r="U37" s="10"/>
      <c r="V37" s="10"/>
      <c r="W37" s="10"/>
      <c r="X37" s="18"/>
      <c r="Y37" s="3"/>
      <c r="Z37" s="2"/>
      <c r="AA37" s="99"/>
      <c r="AB37" s="43"/>
      <c r="AC37" s="44"/>
      <c r="AD37" s="43"/>
      <c r="AE37" s="48"/>
      <c r="AF37" s="46"/>
      <c r="AG37" s="46"/>
      <c r="AH37" s="46"/>
      <c r="AI37" s="48"/>
      <c r="AJ37" s="43"/>
      <c r="AK37" s="48"/>
      <c r="AL37" s="48"/>
      <c r="AM37" s="48"/>
      <c r="AN37" s="48"/>
      <c r="AO37" s="44"/>
      <c r="AP37" s="99"/>
      <c r="AQ37" s="5"/>
    </row>
    <row r="38" spans="1:50" ht="15" customHeight="1" x14ac:dyDescent="0.2">
      <c r="A38" s="2"/>
      <c r="B38" s="15"/>
      <c r="C38" s="12" t="s">
        <v>96</v>
      </c>
      <c r="D38" s="14"/>
      <c r="E38" s="21"/>
      <c r="F38" s="16"/>
      <c r="G38" s="12" t="s">
        <v>97</v>
      </c>
      <c r="H38" s="19" t="str">
        <f>"("&amp;INT(F38/12)&amp;"'"&amp;MOD(F38,12)&amp;"'')"</f>
        <v>(0'0'')</v>
      </c>
      <c r="I38" s="16"/>
      <c r="J38" s="12"/>
      <c r="K38" s="12"/>
      <c r="L38" s="12"/>
      <c r="M38" s="12"/>
      <c r="N38" s="12"/>
      <c r="O38" s="12"/>
      <c r="P38" s="12"/>
      <c r="Q38" s="10"/>
      <c r="R38" s="12"/>
      <c r="S38" s="12"/>
      <c r="T38" s="14"/>
      <c r="U38" s="48"/>
      <c r="V38" s="48"/>
      <c r="W38" s="10"/>
      <c r="X38" s="18"/>
      <c r="Y38" s="3"/>
      <c r="Z38" s="2"/>
      <c r="AA38" s="99"/>
      <c r="AB38" s="43"/>
      <c r="AC38" s="44"/>
      <c r="AD38" s="43"/>
      <c r="AE38" s="48"/>
      <c r="AF38" s="46"/>
      <c r="AG38" s="46"/>
      <c r="AH38" s="46"/>
      <c r="AI38" s="48"/>
      <c r="AJ38" s="43"/>
      <c r="AK38" s="48"/>
      <c r="AL38" s="48"/>
      <c r="AM38" s="48"/>
      <c r="AN38" s="48"/>
      <c r="AO38" s="44"/>
      <c r="AP38" s="99"/>
      <c r="AQ38" s="5"/>
    </row>
    <row r="39" spans="1:50" ht="15" customHeight="1" x14ac:dyDescent="0.2">
      <c r="A39" s="2"/>
      <c r="B39" s="15"/>
      <c r="C39" s="12" t="s">
        <v>98</v>
      </c>
      <c r="D39" s="14"/>
      <c r="E39" s="21"/>
      <c r="F39" s="16"/>
      <c r="G39" s="12"/>
      <c r="H39" s="19"/>
      <c r="I39" s="16"/>
      <c r="J39" s="12"/>
      <c r="K39" s="12"/>
      <c r="L39" s="12"/>
      <c r="M39" s="12"/>
      <c r="N39" s="12"/>
      <c r="O39" s="12"/>
      <c r="P39" s="79"/>
      <c r="Q39" s="10"/>
      <c r="R39" s="12"/>
      <c r="S39" s="12"/>
      <c r="T39" s="14"/>
      <c r="U39" s="48"/>
      <c r="V39" s="48"/>
      <c r="W39" s="10"/>
      <c r="X39" s="18"/>
      <c r="Y39" s="3"/>
      <c r="Z39" s="2"/>
      <c r="AA39" s="99"/>
      <c r="AB39" s="43"/>
      <c r="AC39" s="44"/>
      <c r="AD39" s="43"/>
      <c r="AE39" s="48"/>
      <c r="AF39" s="46"/>
      <c r="AG39" s="46"/>
      <c r="AH39" s="46"/>
      <c r="AI39" s="48"/>
      <c r="AJ39" s="43"/>
      <c r="AK39" s="48"/>
      <c r="AL39" s="48"/>
      <c r="AM39" s="48"/>
      <c r="AN39" s="48"/>
      <c r="AO39" s="44"/>
      <c r="AP39" s="99"/>
      <c r="AQ39" s="5"/>
    </row>
    <row r="40" spans="1:50" ht="15" customHeight="1" x14ac:dyDescent="0.2">
      <c r="A40" s="2"/>
      <c r="B40" s="15"/>
      <c r="C40" s="12" t="s">
        <v>99</v>
      </c>
      <c r="D40" s="14"/>
      <c r="E40" s="21"/>
      <c r="F40" s="16"/>
      <c r="G40" s="12"/>
      <c r="H40" s="19"/>
      <c r="I40" s="16"/>
      <c r="J40" s="12"/>
      <c r="K40" s="12"/>
      <c r="L40" s="12"/>
      <c r="M40" s="12"/>
      <c r="N40" s="12"/>
      <c r="O40" s="12"/>
      <c r="P40" s="12"/>
      <c r="Q40" s="10"/>
      <c r="R40" s="12"/>
      <c r="S40" s="12"/>
      <c r="T40" s="14"/>
      <c r="U40" s="48"/>
      <c r="V40" s="48"/>
      <c r="W40" s="10"/>
      <c r="X40" s="18"/>
      <c r="Y40" s="3"/>
      <c r="Z40" s="2"/>
      <c r="AA40" s="99"/>
      <c r="AB40" s="43"/>
      <c r="AC40" s="44"/>
      <c r="AD40" s="43"/>
      <c r="AE40" s="48"/>
      <c r="AF40" s="46"/>
      <c r="AG40" s="46"/>
      <c r="AH40" s="46"/>
      <c r="AI40" s="48"/>
      <c r="AJ40" s="43"/>
      <c r="AK40" s="48"/>
      <c r="AL40" s="48"/>
      <c r="AM40" s="48"/>
      <c r="AN40" s="48"/>
      <c r="AO40" s="44"/>
      <c r="AP40" s="99"/>
      <c r="AQ40" s="5"/>
    </row>
    <row r="41" spans="1:50" ht="15" customHeight="1" x14ac:dyDescent="0.2">
      <c r="A41" s="2"/>
      <c r="B41" s="15"/>
      <c r="C41" s="12" t="s">
        <v>100</v>
      </c>
      <c r="D41" s="14"/>
      <c r="E41" s="21"/>
      <c r="F41" s="16"/>
      <c r="G41" s="12"/>
      <c r="H41" s="19"/>
      <c r="I41" s="16"/>
      <c r="J41" s="12"/>
      <c r="K41" s="12"/>
      <c r="L41" s="12"/>
      <c r="M41" s="12"/>
      <c r="N41" s="12"/>
      <c r="O41" s="12"/>
      <c r="P41" s="12"/>
      <c r="Q41" s="10"/>
      <c r="R41" s="12"/>
      <c r="S41" s="12"/>
      <c r="T41" s="14"/>
      <c r="U41" s="48"/>
      <c r="V41" s="48"/>
      <c r="W41" s="10"/>
      <c r="X41" s="18"/>
      <c r="Y41" s="3"/>
      <c r="Z41" s="2"/>
      <c r="AA41" s="99"/>
      <c r="AB41" s="43"/>
      <c r="AC41" s="44"/>
      <c r="AD41" s="43"/>
      <c r="AE41" s="48"/>
      <c r="AF41" s="46"/>
      <c r="AG41" s="46"/>
      <c r="AH41" s="46"/>
      <c r="AI41" s="48"/>
      <c r="AJ41" s="43"/>
      <c r="AK41" s="48"/>
      <c r="AL41" s="48"/>
      <c r="AM41" s="48"/>
      <c r="AN41" s="48"/>
      <c r="AO41" s="44"/>
      <c r="AP41" s="99"/>
      <c r="AQ41" s="5"/>
    </row>
    <row r="42" spans="1:50" ht="15" customHeight="1" x14ac:dyDescent="0.25">
      <c r="A42" s="2"/>
      <c r="B42" s="15"/>
      <c r="C42" s="12" t="s">
        <v>101</v>
      </c>
      <c r="D42" s="14"/>
      <c r="E42" s="21"/>
      <c r="F42" s="16"/>
      <c r="G42" s="12"/>
      <c r="H42" s="19"/>
      <c r="I42" s="16"/>
      <c r="J42" s="12"/>
      <c r="K42" s="12"/>
      <c r="L42" s="12"/>
      <c r="M42" s="12"/>
      <c r="N42" s="12"/>
      <c r="O42" s="12"/>
      <c r="P42" s="12"/>
      <c r="Q42" s="10"/>
      <c r="R42" s="12"/>
      <c r="S42" s="12"/>
      <c r="T42" s="14"/>
      <c r="U42" s="48"/>
      <c r="V42" s="48"/>
      <c r="W42" s="10"/>
      <c r="X42" s="18"/>
      <c r="Y42" s="3"/>
      <c r="Z42" s="2"/>
      <c r="AA42" s="99"/>
      <c r="AB42" s="43"/>
      <c r="AC42" s="44"/>
      <c r="AD42" s="43"/>
      <c r="AE42" s="48"/>
      <c r="AF42" s="46"/>
      <c r="AG42" s="46"/>
      <c r="AH42" s="46"/>
      <c r="AI42" s="48"/>
      <c r="AJ42" s="43"/>
      <c r="AK42" s="48"/>
      <c r="AL42" s="48"/>
      <c r="AM42" s="48"/>
      <c r="AN42" s="48"/>
      <c r="AO42" s="44"/>
      <c r="AP42" s="99"/>
      <c r="AQ42" s="5"/>
      <c r="AS42" s="759" t="s">
        <v>2550</v>
      </c>
      <c r="AT42" s="760"/>
      <c r="AU42" s="760"/>
      <c r="AV42" s="761"/>
      <c r="AW42" s="760"/>
      <c r="AX42" s="762"/>
    </row>
    <row r="43" spans="1:50" ht="15" customHeight="1" x14ac:dyDescent="0.2">
      <c r="A43" s="2"/>
      <c r="B43" s="15"/>
      <c r="C43" s="12" t="s">
        <v>102</v>
      </c>
      <c r="D43" s="14"/>
      <c r="E43" s="21"/>
      <c r="F43" s="16"/>
      <c r="G43" s="12"/>
      <c r="H43" s="19"/>
      <c r="I43" s="16"/>
      <c r="J43" s="12"/>
      <c r="K43" s="12"/>
      <c r="L43" s="12"/>
      <c r="M43" s="12"/>
      <c r="N43" s="12"/>
      <c r="O43" s="12"/>
      <c r="P43" s="12"/>
      <c r="Q43" s="10"/>
      <c r="R43" s="12"/>
      <c r="S43" s="12"/>
      <c r="T43" s="80"/>
      <c r="U43" s="48"/>
      <c r="V43" s="48"/>
      <c r="W43" s="10"/>
      <c r="X43" s="18"/>
      <c r="Y43" s="3"/>
      <c r="Z43" s="2"/>
      <c r="AA43" s="99"/>
      <c r="AB43" s="43"/>
      <c r="AC43" s="44"/>
      <c r="AD43" s="43"/>
      <c r="AE43" s="48"/>
      <c r="AF43" s="46"/>
      <c r="AG43" s="46"/>
      <c r="AH43" s="46"/>
      <c r="AI43" s="48"/>
      <c r="AJ43" s="43"/>
      <c r="AK43" s="48"/>
      <c r="AL43" s="48"/>
      <c r="AM43" s="48"/>
      <c r="AN43" s="48"/>
      <c r="AO43" s="44"/>
      <c r="AP43" s="99"/>
      <c r="AQ43" s="5"/>
      <c r="AS43" s="763" t="s">
        <v>2547</v>
      </c>
      <c r="AT43" s="764"/>
      <c r="AU43" s="764"/>
      <c r="AV43" s="765" t="s">
        <v>2548</v>
      </c>
      <c r="AW43" s="766"/>
      <c r="AX43" s="767"/>
    </row>
    <row r="44" spans="1:50" ht="15" customHeight="1" thickBot="1" x14ac:dyDescent="0.25">
      <c r="A44" s="2"/>
      <c r="B44" s="30"/>
      <c r="C44" s="26"/>
      <c r="D44" s="28"/>
      <c r="E44" s="38"/>
      <c r="F44" s="12"/>
      <c r="G44" s="12"/>
      <c r="H44" s="19"/>
      <c r="I44" s="16"/>
      <c r="J44" s="12"/>
      <c r="K44" s="12"/>
      <c r="L44" s="12"/>
      <c r="M44" s="12"/>
      <c r="N44" s="12"/>
      <c r="O44" s="12"/>
      <c r="P44" s="12"/>
      <c r="Q44" s="10"/>
      <c r="R44" s="12"/>
      <c r="S44" s="12"/>
      <c r="T44" s="14"/>
      <c r="U44" s="48"/>
      <c r="V44" s="48"/>
      <c r="W44" s="10"/>
      <c r="X44" s="18"/>
      <c r="Y44" s="3"/>
      <c r="Z44" s="2"/>
      <c r="AA44" s="99"/>
      <c r="AB44" s="138" t="s">
        <v>1910</v>
      </c>
      <c r="AC44" s="161"/>
      <c r="AD44" s="161"/>
      <c r="AE44" s="161"/>
      <c r="AF44" s="161"/>
      <c r="AG44" s="161"/>
      <c r="AH44" s="161"/>
      <c r="AI44" s="161"/>
      <c r="AJ44" s="161"/>
      <c r="AK44" s="161"/>
      <c r="AL44" s="161"/>
      <c r="AM44" s="161"/>
      <c r="AN44" s="988"/>
      <c r="AO44" s="989"/>
      <c r="AP44" s="99"/>
      <c r="AQ44" s="5"/>
      <c r="AS44" s="768" t="s">
        <v>135</v>
      </c>
      <c r="AT44" s="745" t="s">
        <v>2338</v>
      </c>
      <c r="AU44" s="746" t="s">
        <v>53</v>
      </c>
      <c r="AV44" s="984" t="s">
        <v>2339</v>
      </c>
      <c r="AW44" s="963" t="s">
        <v>1992</v>
      </c>
      <c r="AX44" s="964" t="s">
        <v>1994</v>
      </c>
    </row>
    <row r="45" spans="1:50" ht="15" customHeight="1" x14ac:dyDescent="0.2">
      <c r="A45" s="2"/>
      <c r="B45" s="15"/>
      <c r="C45" s="136" t="s">
        <v>103</v>
      </c>
      <c r="D45" s="24"/>
      <c r="E45" s="24"/>
      <c r="F45" s="26"/>
      <c r="G45" s="12"/>
      <c r="H45" s="19"/>
      <c r="I45" s="16"/>
      <c r="J45" s="12"/>
      <c r="K45" s="12"/>
      <c r="L45" s="12"/>
      <c r="M45" s="12"/>
      <c r="N45" s="12"/>
      <c r="O45" s="12"/>
      <c r="P45" s="12"/>
      <c r="Q45" s="10"/>
      <c r="R45" s="12"/>
      <c r="S45" s="12"/>
      <c r="T45" s="12"/>
      <c r="U45" s="78"/>
      <c r="V45" s="78"/>
      <c r="W45" s="12"/>
      <c r="X45" s="19"/>
      <c r="Y45" s="3"/>
      <c r="Z45" s="2"/>
      <c r="AA45" s="99"/>
      <c r="AB45" s="45"/>
      <c r="AC45" s="47"/>
      <c r="AD45" s="45"/>
      <c r="AE45" s="46"/>
      <c r="AF45" s="46"/>
      <c r="AG45" s="46"/>
      <c r="AH45" s="46"/>
      <c r="AI45" s="46"/>
      <c r="AJ45" s="45"/>
      <c r="AK45" s="46"/>
      <c r="AL45" s="277" t="str">
        <f>AS45&amp;"s ("&amp;AT45&amp;")"</f>
        <v>Corters (0.25)</v>
      </c>
      <c r="AM45" s="985"/>
      <c r="AN45" s="158"/>
      <c r="AO45" s="990"/>
      <c r="AP45" s="100"/>
      <c r="AQ45" s="5"/>
      <c r="AS45" s="769" t="s">
        <v>2346</v>
      </c>
      <c r="AT45" s="749">
        <v>0.25</v>
      </c>
      <c r="AU45" s="977" t="s">
        <v>2347</v>
      </c>
      <c r="AV45" s="996"/>
      <c r="AW45" s="748">
        <f t="shared" ref="AW45:AW51" si="0">AT45*AV45</f>
        <v>0</v>
      </c>
      <c r="AX45" s="965">
        <f t="shared" ref="AX45:AX52" si="1">AV45/16</f>
        <v>0</v>
      </c>
    </row>
    <row r="46" spans="1:50" ht="15" customHeight="1" x14ac:dyDescent="0.2">
      <c r="A46" s="2"/>
      <c r="B46" s="15"/>
      <c r="C46" s="12" t="s">
        <v>104</v>
      </c>
      <c r="D46" s="14"/>
      <c r="E46" s="14"/>
      <c r="F46" s="16"/>
      <c r="G46" s="12"/>
      <c r="H46" s="19"/>
      <c r="I46" s="16"/>
      <c r="J46" s="12"/>
      <c r="K46" s="12"/>
      <c r="L46" s="12"/>
      <c r="M46" s="12"/>
      <c r="N46" s="12"/>
      <c r="O46" s="12"/>
      <c r="P46" s="12"/>
      <c r="Q46" s="10"/>
      <c r="R46" s="11"/>
      <c r="S46" s="12"/>
      <c r="T46" s="12"/>
      <c r="U46" s="12"/>
      <c r="V46" s="81"/>
      <c r="W46" s="12"/>
      <c r="X46" s="19"/>
      <c r="Y46" s="3"/>
      <c r="Z46" s="2"/>
      <c r="AA46" s="99"/>
      <c r="AB46" s="43"/>
      <c r="AC46" s="44"/>
      <c r="AD46" s="43"/>
      <c r="AE46" s="48"/>
      <c r="AF46" s="46"/>
      <c r="AG46" s="46"/>
      <c r="AH46" s="46"/>
      <c r="AI46" s="48"/>
      <c r="AJ46" s="43"/>
      <c r="AK46" s="48"/>
      <c r="AL46" s="277" t="str">
        <f t="shared" ref="AL46:AL51" si="2">AS46&amp;"s ("&amp;AT46&amp;")"</f>
        <v>BUCs (1)</v>
      </c>
      <c r="AM46" s="986"/>
      <c r="AN46" s="158"/>
      <c r="AO46" s="991"/>
      <c r="AP46" s="100"/>
      <c r="AQ46" s="5"/>
      <c r="AS46" s="770" t="s">
        <v>2350</v>
      </c>
      <c r="AT46" s="755">
        <v>1</v>
      </c>
      <c r="AU46" s="978" t="s">
        <v>2351</v>
      </c>
      <c r="AV46" s="975"/>
      <c r="AW46" s="756">
        <f t="shared" si="0"/>
        <v>0</v>
      </c>
      <c r="AX46" s="966">
        <f t="shared" si="1"/>
        <v>0</v>
      </c>
    </row>
    <row r="47" spans="1:50" ht="15" customHeight="1" x14ac:dyDescent="0.2">
      <c r="A47" s="2"/>
      <c r="B47" s="15"/>
      <c r="C47" s="12" t="s">
        <v>105</v>
      </c>
      <c r="D47" s="14"/>
      <c r="E47" s="14"/>
      <c r="F47" s="16"/>
      <c r="G47" s="12"/>
      <c r="H47" s="19"/>
      <c r="I47" s="16"/>
      <c r="J47" s="12"/>
      <c r="K47" s="12"/>
      <c r="L47" s="12"/>
      <c r="M47" s="12"/>
      <c r="N47" s="12"/>
      <c r="O47" s="12"/>
      <c r="P47" s="12"/>
      <c r="Q47" s="10"/>
      <c r="R47" s="12"/>
      <c r="S47" s="12"/>
      <c r="T47" s="12"/>
      <c r="U47" s="12"/>
      <c r="V47" s="12"/>
      <c r="W47" s="12"/>
      <c r="X47" s="19"/>
      <c r="Y47" s="3"/>
      <c r="Z47" s="2"/>
      <c r="AA47" s="99"/>
      <c r="AB47" s="43"/>
      <c r="AC47" s="44"/>
      <c r="AD47" s="43"/>
      <c r="AE47" s="48"/>
      <c r="AF47" s="46"/>
      <c r="AG47" s="46"/>
      <c r="AH47" s="46"/>
      <c r="AI47" s="48"/>
      <c r="AJ47" s="43"/>
      <c r="AK47" s="48"/>
      <c r="AL47" s="277" t="str">
        <f t="shared" si="2"/>
        <v>Nibs (5)</v>
      </c>
      <c r="AM47" s="986"/>
      <c r="AN47" s="158"/>
      <c r="AO47" s="991"/>
      <c r="AP47" s="100"/>
      <c r="AQ47" s="5"/>
      <c r="AS47" s="771" t="s">
        <v>2352</v>
      </c>
      <c r="AT47" s="750">
        <v>5</v>
      </c>
      <c r="AU47" s="979" t="s">
        <v>2353</v>
      </c>
      <c r="AV47" s="997"/>
      <c r="AW47" s="747">
        <f t="shared" si="0"/>
        <v>0</v>
      </c>
      <c r="AX47" s="967">
        <f t="shared" si="1"/>
        <v>0</v>
      </c>
    </row>
    <row r="48" spans="1:50" ht="15" customHeight="1" x14ac:dyDescent="0.2">
      <c r="A48" s="2"/>
      <c r="B48" s="15"/>
      <c r="C48" s="12" t="s">
        <v>106</v>
      </c>
      <c r="D48" s="14"/>
      <c r="E48" s="14"/>
      <c r="F48" s="16"/>
      <c r="G48" s="12"/>
      <c r="H48" s="19"/>
      <c r="I48" s="16"/>
      <c r="J48" s="12"/>
      <c r="K48" s="12"/>
      <c r="L48" s="12"/>
      <c r="M48" s="12"/>
      <c r="N48" s="12"/>
      <c r="O48" s="12"/>
      <c r="P48" s="12"/>
      <c r="Q48" s="10"/>
      <c r="R48" s="12"/>
      <c r="S48" s="12"/>
      <c r="T48" s="12"/>
      <c r="U48" s="78"/>
      <c r="V48" s="12"/>
      <c r="W48" s="12"/>
      <c r="X48" s="19"/>
      <c r="Y48" s="3" t="s">
        <v>107</v>
      </c>
      <c r="Z48" s="2"/>
      <c r="AA48" s="99"/>
      <c r="AB48" s="43"/>
      <c r="AC48" s="44"/>
      <c r="AD48" s="43"/>
      <c r="AE48" s="48"/>
      <c r="AF48" s="46"/>
      <c r="AG48" s="46"/>
      <c r="AH48" s="46"/>
      <c r="AI48" s="48"/>
      <c r="AJ48" s="43"/>
      <c r="AK48" s="48"/>
      <c r="AL48" s="277" t="str">
        <f t="shared" si="2"/>
        <v>Shards (10)</v>
      </c>
      <c r="AM48" s="986"/>
      <c r="AN48" s="158"/>
      <c r="AO48" s="991"/>
      <c r="AP48" s="100"/>
      <c r="AQ48" s="5"/>
      <c r="AS48" s="770" t="s">
        <v>2354</v>
      </c>
      <c r="AT48" s="755">
        <v>10</v>
      </c>
      <c r="AU48" s="978" t="s">
        <v>2355</v>
      </c>
      <c r="AV48" s="975"/>
      <c r="AW48" s="756">
        <f t="shared" si="0"/>
        <v>0</v>
      </c>
      <c r="AX48" s="966">
        <f t="shared" si="1"/>
        <v>0</v>
      </c>
    </row>
    <row r="49" spans="1:50" ht="15" customHeight="1" x14ac:dyDescent="0.2">
      <c r="A49" s="2"/>
      <c r="B49" s="15"/>
      <c r="C49" s="12" t="s">
        <v>106</v>
      </c>
      <c r="D49" s="14"/>
      <c r="E49" s="14"/>
      <c r="F49" s="16"/>
      <c r="G49" s="12"/>
      <c r="H49" s="12"/>
      <c r="I49" s="16"/>
      <c r="J49" s="12"/>
      <c r="K49" s="12"/>
      <c r="L49" s="12"/>
      <c r="M49" s="12"/>
      <c r="N49" s="12"/>
      <c r="O49" s="12"/>
      <c r="P49" s="12"/>
      <c r="Q49" s="10"/>
      <c r="R49" s="12"/>
      <c r="S49" s="12"/>
      <c r="T49" s="12"/>
      <c r="U49" s="78"/>
      <c r="V49" s="12"/>
      <c r="W49" s="12"/>
      <c r="X49" s="19"/>
      <c r="Y49" s="3" t="s">
        <v>107</v>
      </c>
      <c r="Z49" s="2"/>
      <c r="AA49" s="99"/>
      <c r="AB49" s="43"/>
      <c r="AC49" s="44"/>
      <c r="AD49" s="43"/>
      <c r="AE49" s="48"/>
      <c r="AF49" s="46"/>
      <c r="AG49" s="46"/>
      <c r="AH49" s="46"/>
      <c r="AI49" s="48"/>
      <c r="AJ49" s="43"/>
      <c r="AK49" s="48"/>
      <c r="AL49" s="277" t="str">
        <f t="shared" si="2"/>
        <v>Taols (50)</v>
      </c>
      <c r="AM49" s="986"/>
      <c r="AN49" s="158"/>
      <c r="AO49" s="991"/>
      <c r="AP49" s="100"/>
      <c r="AQ49" s="5"/>
      <c r="AS49" s="772" t="s">
        <v>2356</v>
      </c>
      <c r="AT49" s="753">
        <v>50</v>
      </c>
      <c r="AU49" s="980" t="s">
        <v>2357</v>
      </c>
      <c r="AV49" s="998"/>
      <c r="AW49" s="754">
        <f t="shared" si="0"/>
        <v>0</v>
      </c>
      <c r="AX49" s="968">
        <f t="shared" si="1"/>
        <v>0</v>
      </c>
    </row>
    <row r="50" spans="1:50" ht="15" customHeight="1" x14ac:dyDescent="0.2">
      <c r="A50" s="2"/>
      <c r="B50" s="15"/>
      <c r="C50" s="12" t="s">
        <v>106</v>
      </c>
      <c r="D50" s="14"/>
      <c r="E50" s="14"/>
      <c r="F50" s="16"/>
      <c r="G50" s="12"/>
      <c r="H50" s="12"/>
      <c r="I50" s="16"/>
      <c r="J50" s="12"/>
      <c r="K50" s="12"/>
      <c r="L50" s="12"/>
      <c r="M50" s="12"/>
      <c r="N50" s="12"/>
      <c r="O50" s="12"/>
      <c r="P50" s="12"/>
      <c r="Q50" s="10"/>
      <c r="R50" s="12"/>
      <c r="S50" s="12"/>
      <c r="T50" s="12"/>
      <c r="U50" s="78"/>
      <c r="V50" s="12"/>
      <c r="W50" s="12"/>
      <c r="X50" s="19"/>
      <c r="Y50" s="3" t="s">
        <v>107</v>
      </c>
      <c r="Z50" s="2"/>
      <c r="AA50" s="99"/>
      <c r="AB50" s="43"/>
      <c r="AC50" s="44"/>
      <c r="AD50" s="43"/>
      <c r="AE50" s="48"/>
      <c r="AF50" s="46"/>
      <c r="AG50" s="46"/>
      <c r="AH50" s="46"/>
      <c r="AI50" s="48"/>
      <c r="AJ50" s="43"/>
      <c r="AK50" s="48"/>
      <c r="AL50" s="277" t="str">
        <f t="shared" si="2"/>
        <v>Dragons (100)</v>
      </c>
      <c r="AM50" s="986"/>
      <c r="AN50" s="158"/>
      <c r="AO50" s="991"/>
      <c r="AP50" s="100"/>
      <c r="AQ50" s="5"/>
      <c r="AS50" s="773" t="s">
        <v>2358</v>
      </c>
      <c r="AT50" s="757">
        <v>100</v>
      </c>
      <c r="AU50" s="981" t="s">
        <v>2359</v>
      </c>
      <c r="AV50" s="976"/>
      <c r="AW50" s="758">
        <f t="shared" si="0"/>
        <v>0</v>
      </c>
      <c r="AX50" s="969">
        <f t="shared" si="1"/>
        <v>0</v>
      </c>
    </row>
    <row r="51" spans="1:50" ht="15" customHeight="1" x14ac:dyDescent="0.2">
      <c r="A51" s="2"/>
      <c r="B51" s="15"/>
      <c r="C51" s="12" t="s">
        <v>108</v>
      </c>
      <c r="D51" s="14"/>
      <c r="E51" s="14"/>
      <c r="F51" s="16"/>
      <c r="G51" s="12"/>
      <c r="H51" s="12"/>
      <c r="I51" s="16"/>
      <c r="J51" s="12"/>
      <c r="K51" s="82"/>
      <c r="L51" s="12"/>
      <c r="M51" s="12"/>
      <c r="N51" s="12"/>
      <c r="O51" s="12"/>
      <c r="P51" s="79"/>
      <c r="Q51" s="10"/>
      <c r="R51" s="12"/>
      <c r="S51" s="12"/>
      <c r="T51" s="10"/>
      <c r="U51" s="10"/>
      <c r="V51" s="12"/>
      <c r="W51" s="12"/>
      <c r="X51" s="19"/>
      <c r="Y51" s="3" t="s">
        <v>107</v>
      </c>
      <c r="Z51" s="2"/>
      <c r="AA51" s="99"/>
      <c r="AB51" s="43"/>
      <c r="AC51" s="44"/>
      <c r="AD51" s="43"/>
      <c r="AE51" s="48"/>
      <c r="AF51" s="46"/>
      <c r="AG51" s="46"/>
      <c r="AH51" s="46"/>
      <c r="AI51" s="48"/>
      <c r="AJ51" s="43"/>
      <c r="AK51" s="48"/>
      <c r="AL51" s="277" t="str">
        <f t="shared" si="2"/>
        <v>Suns (500)</v>
      </c>
      <c r="AM51" s="986"/>
      <c r="AN51" s="158"/>
      <c r="AO51" s="991"/>
      <c r="AP51" s="100"/>
      <c r="AQ51" s="5"/>
      <c r="AS51" s="774" t="s">
        <v>2360</v>
      </c>
      <c r="AT51" s="752">
        <v>500</v>
      </c>
      <c r="AU51" s="982" t="s">
        <v>2361</v>
      </c>
      <c r="AV51" s="999"/>
      <c r="AW51" s="751">
        <f t="shared" si="0"/>
        <v>0</v>
      </c>
      <c r="AX51" s="970">
        <f t="shared" si="1"/>
        <v>0</v>
      </c>
    </row>
    <row r="52" spans="1:50" ht="15" customHeight="1" thickBot="1" x14ac:dyDescent="0.25">
      <c r="A52" s="2"/>
      <c r="B52" s="15"/>
      <c r="C52" s="12" t="s">
        <v>109</v>
      </c>
      <c r="D52" s="14"/>
      <c r="E52" s="14"/>
      <c r="F52" s="16"/>
      <c r="G52" s="12"/>
      <c r="H52" s="12"/>
      <c r="I52" s="16"/>
      <c r="J52" s="12"/>
      <c r="K52" s="82"/>
      <c r="L52" s="12"/>
      <c r="M52" s="12"/>
      <c r="N52" s="12"/>
      <c r="O52" s="12"/>
      <c r="P52" s="12"/>
      <c r="Q52" s="10"/>
      <c r="R52" s="12"/>
      <c r="S52" s="78"/>
      <c r="T52" s="12"/>
      <c r="U52" s="12"/>
      <c r="V52" s="12"/>
      <c r="W52" s="12"/>
      <c r="X52" s="19"/>
      <c r="Y52" s="3" t="s">
        <v>107</v>
      </c>
      <c r="Z52" s="2"/>
      <c r="AA52" s="99"/>
      <c r="AB52" s="43"/>
      <c r="AC52" s="44"/>
      <c r="AD52" s="43"/>
      <c r="AE52" s="48"/>
      <c r="AF52" s="46"/>
      <c r="AG52" s="46"/>
      <c r="AH52" s="46"/>
      <c r="AI52" s="48"/>
      <c r="AJ52" s="43"/>
      <c r="AK52" s="48"/>
      <c r="AL52" s="940" t="s">
        <v>2983</v>
      </c>
      <c r="AM52" s="987"/>
      <c r="AN52" s="993"/>
      <c r="AO52" s="995"/>
      <c r="AP52" s="100"/>
      <c r="AQ52" s="5"/>
      <c r="AS52" s="775" t="s">
        <v>2551</v>
      </c>
      <c r="AT52" s="744">
        <v>10000</v>
      </c>
      <c r="AU52" s="983" t="s">
        <v>2369</v>
      </c>
      <c r="AV52" s="1000"/>
      <c r="AW52" s="974">
        <f>AT52*AV52</f>
        <v>0</v>
      </c>
      <c r="AX52" s="973">
        <f t="shared" si="1"/>
        <v>0</v>
      </c>
    </row>
    <row r="53" spans="1:50" ht="15" customHeight="1" x14ac:dyDescent="0.2">
      <c r="A53" s="2"/>
      <c r="B53" s="15"/>
      <c r="C53" s="12" t="s">
        <v>110</v>
      </c>
      <c r="D53" s="14"/>
      <c r="E53" s="14"/>
      <c r="F53" s="16"/>
      <c r="G53" s="12"/>
      <c r="H53" s="12"/>
      <c r="I53" s="16"/>
      <c r="J53" s="12"/>
      <c r="K53" s="82"/>
      <c r="L53" s="12"/>
      <c r="M53" s="12"/>
      <c r="N53" s="12"/>
      <c r="O53" s="12"/>
      <c r="P53" s="12"/>
      <c r="Q53" s="10"/>
      <c r="R53" s="12"/>
      <c r="S53" s="12"/>
      <c r="T53" s="79"/>
      <c r="U53" s="78"/>
      <c r="V53" s="12"/>
      <c r="W53" s="12"/>
      <c r="X53" s="19"/>
      <c r="Y53" s="3" t="s">
        <v>107</v>
      </c>
      <c r="Z53" s="2"/>
      <c r="AA53" s="99"/>
      <c r="AB53" s="43"/>
      <c r="AC53" s="44"/>
      <c r="AD53" s="43"/>
      <c r="AE53" s="48"/>
      <c r="AF53" s="46"/>
      <c r="AG53" s="46"/>
      <c r="AH53" s="46"/>
      <c r="AI53" s="48"/>
      <c r="AJ53" s="43"/>
      <c r="AK53" s="48"/>
      <c r="AL53" s="147" t="s">
        <v>2984</v>
      </c>
      <c r="AM53" s="158"/>
      <c r="AN53" s="992"/>
      <c r="AO53" s="994"/>
      <c r="AP53" s="100"/>
      <c r="AQ53" s="5"/>
      <c r="AS53" s="776" t="s">
        <v>2549</v>
      </c>
      <c r="AT53" s="777"/>
      <c r="AU53" s="777"/>
      <c r="AV53" s="971" t="s">
        <v>2368</v>
      </c>
      <c r="AW53" s="971" t="str">
        <f>INT(SUM(AW45:AW51))&amp;" BUCs"</f>
        <v>0 BUCs</v>
      </c>
      <c r="AX53" s="972" t="str">
        <f>INT(SUM(AX45:AX51))&amp;" lbs."</f>
        <v>0 lbs.</v>
      </c>
    </row>
    <row r="54" spans="1:50" ht="15" customHeight="1" x14ac:dyDescent="0.2">
      <c r="A54" s="2"/>
      <c r="B54" s="15"/>
      <c r="C54" s="26" t="s">
        <v>111</v>
      </c>
      <c r="D54" s="28"/>
      <c r="E54" s="28"/>
      <c r="F54" s="16"/>
      <c r="G54" s="12"/>
      <c r="H54" s="12"/>
      <c r="I54" s="16"/>
      <c r="J54" s="12"/>
      <c r="K54" s="82"/>
      <c r="L54" s="12"/>
      <c r="M54" s="12"/>
      <c r="N54" s="12"/>
      <c r="O54" s="12"/>
      <c r="P54" s="12"/>
      <c r="Q54" s="10"/>
      <c r="R54" s="12"/>
      <c r="S54" s="78"/>
      <c r="T54" s="12"/>
      <c r="U54" s="12"/>
      <c r="V54" s="12"/>
      <c r="W54" s="12"/>
      <c r="X54" s="19"/>
      <c r="Y54" s="3" t="s">
        <v>107</v>
      </c>
      <c r="Z54" s="2"/>
      <c r="AA54" s="99"/>
      <c r="AB54" s="43"/>
      <c r="AC54" s="44"/>
      <c r="AD54" s="43"/>
      <c r="AE54" s="48"/>
      <c r="AF54" s="46"/>
      <c r="AG54" s="46"/>
      <c r="AH54" s="46"/>
      <c r="AI54" s="48"/>
      <c r="AJ54" s="43"/>
      <c r="AK54" s="48"/>
      <c r="AL54" s="158"/>
      <c r="AM54" s="158"/>
      <c r="AN54" s="158"/>
      <c r="AO54" s="939"/>
      <c r="AP54" s="99"/>
      <c r="AQ54" s="5"/>
    </row>
    <row r="55" spans="1:50" ht="15" customHeight="1" x14ac:dyDescent="0.2">
      <c r="A55" s="2"/>
      <c r="B55" s="30"/>
      <c r="C55" s="26"/>
      <c r="D55" s="27"/>
      <c r="E55" s="37"/>
      <c r="F55" s="26"/>
      <c r="G55" s="26"/>
      <c r="H55" s="26"/>
      <c r="I55" s="16"/>
      <c r="J55" s="12"/>
      <c r="K55" s="12"/>
      <c r="L55" s="12"/>
      <c r="M55" s="12"/>
      <c r="N55" s="12"/>
      <c r="O55" s="12"/>
      <c r="P55" s="12"/>
      <c r="Q55" s="10"/>
      <c r="R55" s="12"/>
      <c r="S55" s="78"/>
      <c r="T55" s="12"/>
      <c r="U55" s="12"/>
      <c r="V55" s="12"/>
      <c r="W55" s="83"/>
      <c r="X55" s="19"/>
      <c r="Y55" s="3" t="s">
        <v>107</v>
      </c>
      <c r="Z55" s="2"/>
      <c r="AA55" s="99"/>
      <c r="AB55" s="43"/>
      <c r="AC55" s="44"/>
      <c r="AD55" s="43"/>
      <c r="AE55" s="48"/>
      <c r="AF55" s="46"/>
      <c r="AG55" s="46"/>
      <c r="AH55" s="46"/>
      <c r="AI55" s="48"/>
      <c r="AJ55" s="43"/>
      <c r="AK55" s="48"/>
      <c r="AL55" s="158"/>
      <c r="AM55" s="158"/>
      <c r="AN55" s="158"/>
      <c r="AO55" s="939"/>
      <c r="AP55" s="99"/>
      <c r="AQ55" s="5"/>
    </row>
    <row r="56" spans="1:50" ht="3.6" customHeight="1" x14ac:dyDescent="0.2">
      <c r="A56" s="15"/>
      <c r="B56" s="10"/>
      <c r="C56" s="10"/>
      <c r="D56" s="13"/>
      <c r="E56" s="13"/>
      <c r="F56" s="13"/>
      <c r="G56" s="10"/>
      <c r="H56" s="10"/>
      <c r="I56" s="10"/>
      <c r="J56" s="10"/>
      <c r="K56" s="13"/>
      <c r="L56" s="13"/>
      <c r="M56" s="13"/>
      <c r="N56" s="13"/>
      <c r="O56" s="10"/>
      <c r="P56" s="10"/>
      <c r="Q56" s="10"/>
      <c r="R56" s="10" t="s">
        <v>112</v>
      </c>
      <c r="S56" s="10"/>
      <c r="T56" s="10"/>
      <c r="U56" s="10"/>
      <c r="V56" s="10"/>
      <c r="W56" s="10"/>
      <c r="X56" s="10"/>
      <c r="Y56" s="18"/>
      <c r="Z56" s="15"/>
      <c r="AA56" s="24"/>
      <c r="AB56" s="10"/>
      <c r="AC56" s="10"/>
      <c r="AD56" s="10"/>
      <c r="AE56" s="10"/>
      <c r="AF56" s="10"/>
      <c r="AG56" s="10"/>
      <c r="AH56" s="10"/>
      <c r="AI56" s="10"/>
      <c r="AJ56" s="10"/>
      <c r="AK56" s="10"/>
      <c r="AL56" s="10"/>
      <c r="AM56" s="10"/>
      <c r="AN56" s="10"/>
      <c r="AO56" s="10"/>
      <c r="AP56" s="24"/>
      <c r="AQ56" s="22"/>
    </row>
    <row r="57" spans="1:50" ht="3.6" customHeight="1" x14ac:dyDescent="0.2">
      <c r="A57" s="8"/>
      <c r="B57" s="6"/>
      <c r="C57" s="6"/>
      <c r="D57" s="7"/>
      <c r="E57" s="7"/>
      <c r="F57" s="7"/>
      <c r="G57" s="6"/>
      <c r="H57" s="6"/>
      <c r="I57" s="6"/>
      <c r="J57" s="6"/>
      <c r="K57" s="7"/>
      <c r="L57" s="7"/>
      <c r="M57" s="7"/>
      <c r="N57" s="7"/>
      <c r="O57" s="6"/>
      <c r="P57" s="6"/>
      <c r="Q57" s="6"/>
      <c r="R57" s="6"/>
      <c r="S57" s="6"/>
      <c r="T57" s="6"/>
      <c r="U57" s="6"/>
      <c r="V57" s="6"/>
      <c r="W57" s="6"/>
      <c r="X57" s="6"/>
      <c r="Y57" s="9"/>
      <c r="Z57" s="8"/>
      <c r="AA57" s="6"/>
      <c r="AB57" s="6"/>
      <c r="AC57" s="6"/>
      <c r="AD57" s="6"/>
      <c r="AE57" s="6"/>
      <c r="AF57" s="6"/>
      <c r="AG57" s="6"/>
      <c r="AH57" s="6"/>
      <c r="AI57" s="6"/>
      <c r="AJ57" s="6"/>
      <c r="AK57" s="6"/>
      <c r="AL57" s="6"/>
      <c r="AM57" s="6"/>
      <c r="AN57" s="6"/>
      <c r="AO57" s="6"/>
      <c r="AP57" s="6"/>
      <c r="AQ57" s="9"/>
    </row>
    <row r="58" spans="1:50" ht="15" customHeight="1" x14ac:dyDescent="0.25">
      <c r="A58" s="2"/>
      <c r="B58" s="109"/>
      <c r="C58" s="140" t="s">
        <v>128</v>
      </c>
      <c r="D58" s="89"/>
      <c r="E58" s="89"/>
      <c r="F58" s="89"/>
      <c r="G58" s="88"/>
      <c r="H58" s="89"/>
      <c r="I58" s="93"/>
      <c r="J58" s="93"/>
      <c r="K58" s="89"/>
      <c r="L58" s="89"/>
      <c r="M58" s="89"/>
      <c r="N58" s="89"/>
      <c r="O58" s="88"/>
      <c r="P58" s="90"/>
      <c r="Q58" s="89"/>
      <c r="R58" s="88"/>
      <c r="S58" s="90" t="s">
        <v>124</v>
      </c>
      <c r="T58" s="88"/>
      <c r="U58" s="88"/>
      <c r="V58" s="88"/>
      <c r="W58" s="88"/>
      <c r="X58" s="91"/>
      <c r="Y58" s="3"/>
      <c r="Z58" s="2"/>
      <c r="AA58" s="167"/>
      <c r="AB58" s="168" t="s">
        <v>134</v>
      </c>
      <c r="AC58" s="169"/>
      <c r="AD58" s="169"/>
      <c r="AE58" s="169"/>
      <c r="AF58" s="169"/>
      <c r="AG58" s="169"/>
      <c r="AH58" s="182"/>
      <c r="AI58" s="182"/>
      <c r="AJ58" s="182"/>
      <c r="AK58" s="182"/>
      <c r="AL58" s="182"/>
      <c r="AM58" s="182"/>
      <c r="AN58" s="182"/>
      <c r="AO58" s="182"/>
      <c r="AP58" s="170"/>
      <c r="AQ58" s="3"/>
    </row>
    <row r="59" spans="1:50" ht="3.6" customHeight="1" x14ac:dyDescent="0.2">
      <c r="A59" s="2"/>
      <c r="B59" s="108"/>
      <c r="C59" s="86"/>
      <c r="D59" s="86"/>
      <c r="E59" s="86"/>
      <c r="F59" s="86"/>
      <c r="G59" s="86"/>
      <c r="H59" s="86"/>
      <c r="I59" s="94"/>
      <c r="J59" s="94" t="s">
        <v>113</v>
      </c>
      <c r="K59" s="86"/>
      <c r="L59" s="86"/>
      <c r="M59" s="86"/>
      <c r="N59" s="86"/>
      <c r="O59" s="85"/>
      <c r="P59" s="85"/>
      <c r="Q59" s="85"/>
      <c r="R59" s="85"/>
      <c r="S59" s="85"/>
      <c r="T59" s="85"/>
      <c r="U59" s="85"/>
      <c r="V59" s="85"/>
      <c r="W59" s="85"/>
      <c r="X59" s="87"/>
      <c r="Y59" s="3"/>
      <c r="Z59" s="2"/>
      <c r="AA59" s="171"/>
      <c r="AB59" s="172"/>
      <c r="AC59" s="172"/>
      <c r="AD59" s="172"/>
      <c r="AE59" s="172"/>
      <c r="AF59" s="172"/>
      <c r="AG59" s="172"/>
      <c r="AH59" s="172"/>
      <c r="AI59" s="172"/>
      <c r="AJ59" s="172"/>
      <c r="AK59" s="172"/>
      <c r="AL59" s="172"/>
      <c r="AM59" s="172"/>
      <c r="AN59" s="172"/>
      <c r="AO59" s="172"/>
      <c r="AP59" s="173"/>
      <c r="AQ59" s="3"/>
    </row>
    <row r="60" spans="1:50" ht="14.1" customHeight="1" x14ac:dyDescent="0.2">
      <c r="A60" s="2"/>
      <c r="B60" s="108"/>
      <c r="C60" s="137"/>
      <c r="D60" s="128" t="s">
        <v>114</v>
      </c>
      <c r="E60" s="128"/>
      <c r="F60" s="128"/>
      <c r="G60" s="128"/>
      <c r="H60" s="128" t="s">
        <v>115</v>
      </c>
      <c r="I60" s="95" t="s">
        <v>116</v>
      </c>
      <c r="J60" s="94" t="s">
        <v>1</v>
      </c>
      <c r="K60" s="128" t="s">
        <v>122</v>
      </c>
      <c r="L60" s="128" t="s">
        <v>49</v>
      </c>
      <c r="M60" s="128"/>
      <c r="N60" s="128"/>
      <c r="O60" s="128"/>
      <c r="P60" s="128" t="s">
        <v>115</v>
      </c>
      <c r="Q60" s="128"/>
      <c r="R60" s="128"/>
      <c r="S60" s="128" t="s">
        <v>122</v>
      </c>
      <c r="T60" s="128" t="s">
        <v>49</v>
      </c>
      <c r="U60" s="128"/>
      <c r="V60" s="128"/>
      <c r="W60" s="128" t="s">
        <v>115</v>
      </c>
      <c r="X60" s="92"/>
      <c r="Y60" s="5"/>
      <c r="Z60" s="2"/>
      <c r="AA60" s="171"/>
      <c r="AB60" s="174" t="s">
        <v>1907</v>
      </c>
      <c r="AC60" s="172"/>
      <c r="AD60" s="172"/>
      <c r="AE60" s="172"/>
      <c r="AF60" s="172"/>
      <c r="AG60" s="172"/>
      <c r="AH60" s="175"/>
      <c r="AI60" s="176"/>
      <c r="AJ60" s="175"/>
      <c r="AK60" s="177"/>
      <c r="AL60" s="176"/>
      <c r="AM60" s="175"/>
      <c r="AN60" s="177"/>
      <c r="AO60" s="176"/>
      <c r="AP60" s="173"/>
      <c r="AQ60" s="3"/>
    </row>
    <row r="61" spans="1:50" ht="14.45" customHeight="1" x14ac:dyDescent="0.2">
      <c r="A61" s="2"/>
      <c r="B61" s="108"/>
      <c r="C61" s="42">
        <v>1</v>
      </c>
      <c r="D61" s="32" t="s">
        <v>118</v>
      </c>
      <c r="E61" s="27"/>
      <c r="F61" s="24"/>
      <c r="G61" s="35"/>
      <c r="H61" s="39"/>
      <c r="I61" s="85"/>
      <c r="J61" s="85" t="s">
        <v>1</v>
      </c>
      <c r="K61" s="42"/>
      <c r="L61" s="32"/>
      <c r="M61" s="27"/>
      <c r="N61" s="24"/>
      <c r="O61" s="24"/>
      <c r="P61" s="39"/>
      <c r="Q61" s="85"/>
      <c r="R61" s="85"/>
      <c r="S61" s="42"/>
      <c r="T61" s="27"/>
      <c r="U61" s="27"/>
      <c r="V61" s="35"/>
      <c r="W61" s="41"/>
      <c r="X61" s="87"/>
      <c r="Y61" s="3"/>
      <c r="Z61" s="2"/>
      <c r="AA61" s="178"/>
      <c r="AB61" s="180" t="s">
        <v>135</v>
      </c>
      <c r="AC61" s="175"/>
      <c r="AD61" s="181" t="s">
        <v>123</v>
      </c>
      <c r="AE61" s="180" t="s">
        <v>143</v>
      </c>
      <c r="AF61" s="180"/>
      <c r="AG61" s="180" t="s">
        <v>144</v>
      </c>
      <c r="AH61" s="180"/>
      <c r="AI61" s="180" t="s">
        <v>145</v>
      </c>
      <c r="AJ61" s="180"/>
      <c r="AK61" s="180" t="s">
        <v>146</v>
      </c>
      <c r="AL61" s="180"/>
      <c r="AM61" s="180"/>
      <c r="AN61" s="180"/>
      <c r="AO61" s="180"/>
      <c r="AP61" s="179"/>
      <c r="AQ61" s="4"/>
    </row>
    <row r="62" spans="1:50" ht="14.45" customHeight="1" x14ac:dyDescent="0.2">
      <c r="A62" s="2"/>
      <c r="B62" s="108"/>
      <c r="C62" s="42">
        <v>2</v>
      </c>
      <c r="D62" s="17" t="s">
        <v>120</v>
      </c>
      <c r="E62" s="13"/>
      <c r="F62" s="10"/>
      <c r="G62" s="18"/>
      <c r="H62" s="22"/>
      <c r="I62" s="85"/>
      <c r="J62" s="85" t="s">
        <v>1</v>
      </c>
      <c r="K62" s="42"/>
      <c r="L62" s="17"/>
      <c r="M62" s="13"/>
      <c r="N62" s="10"/>
      <c r="O62" s="10"/>
      <c r="P62" s="22"/>
      <c r="Q62" s="85"/>
      <c r="R62" s="85"/>
      <c r="S62" s="42"/>
      <c r="T62" s="13"/>
      <c r="U62" s="13"/>
      <c r="V62" s="18"/>
      <c r="W62" s="49"/>
      <c r="X62" s="87"/>
      <c r="Y62" s="3"/>
      <c r="Z62" s="2"/>
      <c r="AA62" s="162"/>
      <c r="AB62" s="74"/>
      <c r="AC62" s="35"/>
      <c r="AD62" s="74"/>
      <c r="AE62" s="74"/>
      <c r="AF62" s="35"/>
      <c r="AG62" s="24"/>
      <c r="AH62" s="24"/>
      <c r="AI62" s="30"/>
      <c r="AJ62" s="35"/>
      <c r="AK62" s="24"/>
      <c r="AL62" s="24"/>
      <c r="AM62" s="24"/>
      <c r="AN62" s="24"/>
      <c r="AO62" s="35"/>
      <c r="AP62" s="163"/>
      <c r="AQ62" s="3"/>
    </row>
    <row r="63" spans="1:50" ht="14.45" customHeight="1" x14ac:dyDescent="0.2">
      <c r="A63" s="2"/>
      <c r="B63" s="108"/>
      <c r="C63" s="42">
        <v>3</v>
      </c>
      <c r="D63" s="17" t="s">
        <v>3036</v>
      </c>
      <c r="E63" s="13"/>
      <c r="F63" s="10"/>
      <c r="G63" s="20" t="s">
        <v>3035</v>
      </c>
      <c r="H63" s="22"/>
      <c r="I63" s="85"/>
      <c r="J63" s="85" t="s">
        <v>1</v>
      </c>
      <c r="K63" s="42"/>
      <c r="L63" s="17"/>
      <c r="M63" s="13"/>
      <c r="N63" s="10"/>
      <c r="O63" s="10"/>
      <c r="P63" s="22"/>
      <c r="Q63" s="85"/>
      <c r="R63" s="85"/>
      <c r="S63" s="42"/>
      <c r="T63" s="13"/>
      <c r="U63" s="13"/>
      <c r="V63" s="18"/>
      <c r="W63" s="49"/>
      <c r="X63" s="87"/>
      <c r="Y63" s="3"/>
      <c r="Z63" s="2"/>
      <c r="AA63" s="162"/>
      <c r="AB63" s="75"/>
      <c r="AC63" s="18"/>
      <c r="AD63" s="15"/>
      <c r="AE63" s="15"/>
      <c r="AF63" s="18"/>
      <c r="AG63" s="24"/>
      <c r="AH63" s="10"/>
      <c r="AI63" s="30"/>
      <c r="AJ63" s="35"/>
      <c r="AK63" s="24"/>
      <c r="AL63" s="24"/>
      <c r="AM63" s="24"/>
      <c r="AN63" s="24"/>
      <c r="AO63" s="35"/>
      <c r="AP63" s="163"/>
      <c r="AQ63" s="3"/>
    </row>
    <row r="64" spans="1:50" ht="14.45" customHeight="1" x14ac:dyDescent="0.2">
      <c r="A64" s="2"/>
      <c r="B64" s="108"/>
      <c r="C64" s="42">
        <v>4</v>
      </c>
      <c r="D64" s="17" t="s">
        <v>121</v>
      </c>
      <c r="E64" s="13"/>
      <c r="F64" s="10"/>
      <c r="G64" s="18"/>
      <c r="H64" s="22"/>
      <c r="I64" s="85"/>
      <c r="J64" s="85" t="s">
        <v>1</v>
      </c>
      <c r="K64" s="42"/>
      <c r="L64" s="17"/>
      <c r="M64" s="13"/>
      <c r="N64" s="10"/>
      <c r="O64" s="10"/>
      <c r="P64" s="22"/>
      <c r="Q64" s="85"/>
      <c r="R64" s="85"/>
      <c r="S64" s="42"/>
      <c r="T64" s="13"/>
      <c r="U64" s="13"/>
      <c r="V64" s="18"/>
      <c r="W64" s="49"/>
      <c r="X64" s="87"/>
      <c r="Y64" s="3"/>
      <c r="Z64" s="2"/>
      <c r="AA64" s="162"/>
      <c r="AB64" s="75"/>
      <c r="AC64" s="18"/>
      <c r="AD64" s="15"/>
      <c r="AE64" s="15"/>
      <c r="AF64" s="18"/>
      <c r="AG64" s="10"/>
      <c r="AH64" s="10"/>
      <c r="AI64" s="15"/>
      <c r="AJ64" s="18"/>
      <c r="AK64" s="10"/>
      <c r="AL64" s="10"/>
      <c r="AM64" s="10"/>
      <c r="AN64" s="10"/>
      <c r="AO64" s="18"/>
      <c r="AP64" s="163"/>
      <c r="AQ64" s="3"/>
    </row>
    <row r="65" spans="1:43" ht="14.45" customHeight="1" x14ac:dyDescent="0.2">
      <c r="A65" s="2"/>
      <c r="B65" s="108"/>
      <c r="C65" s="42">
        <v>5</v>
      </c>
      <c r="D65" s="17" t="s">
        <v>125</v>
      </c>
      <c r="E65" s="13"/>
      <c r="F65" s="10"/>
      <c r="G65" s="18"/>
      <c r="H65" s="22"/>
      <c r="I65" s="85"/>
      <c r="J65" s="85"/>
      <c r="K65" s="42"/>
      <c r="L65" s="17"/>
      <c r="M65" s="13"/>
      <c r="N65" s="10"/>
      <c r="O65" s="10"/>
      <c r="P65" s="22"/>
      <c r="Q65" s="85"/>
      <c r="R65" s="85"/>
      <c r="S65" s="42"/>
      <c r="T65" s="13"/>
      <c r="U65" s="13"/>
      <c r="V65" s="18"/>
      <c r="W65" s="49"/>
      <c r="X65" s="87"/>
      <c r="Y65" s="3"/>
      <c r="Z65" s="2"/>
      <c r="AA65" s="162"/>
      <c r="AB65" s="174" t="s">
        <v>1908</v>
      </c>
      <c r="AC65" s="175"/>
      <c r="AD65" s="175"/>
      <c r="AE65" s="176"/>
      <c r="AF65" s="175"/>
      <c r="AG65" s="177"/>
      <c r="AH65" s="175"/>
      <c r="AI65" s="176"/>
      <c r="AJ65" s="175"/>
      <c r="AK65" s="177"/>
      <c r="AL65" s="176"/>
      <c r="AM65" s="175"/>
      <c r="AN65" s="177"/>
      <c r="AO65" s="176"/>
      <c r="AP65" s="163"/>
      <c r="AQ65" s="3"/>
    </row>
    <row r="66" spans="1:43" ht="14.45" customHeight="1" x14ac:dyDescent="0.2">
      <c r="A66" s="2"/>
      <c r="B66" s="108"/>
      <c r="C66" s="42">
        <v>6</v>
      </c>
      <c r="D66" s="1031" t="s">
        <v>3033</v>
      </c>
      <c r="E66" s="535"/>
      <c r="G66" s="3"/>
      <c r="H66" s="22"/>
      <c r="I66" s="85"/>
      <c r="J66" s="85"/>
      <c r="K66" s="42"/>
      <c r="L66" s="17"/>
      <c r="M66" s="13"/>
      <c r="N66" s="10"/>
      <c r="O66" s="10"/>
      <c r="P66" s="22"/>
      <c r="Q66" s="85"/>
      <c r="R66" s="85"/>
      <c r="S66" s="42"/>
      <c r="T66" s="13"/>
      <c r="U66" s="13"/>
      <c r="V66" s="18"/>
      <c r="W66" s="49"/>
      <c r="X66" s="87"/>
      <c r="Y66" s="3"/>
      <c r="Z66" s="2"/>
      <c r="AA66" s="162"/>
      <c r="AB66" s="180" t="s">
        <v>135</v>
      </c>
      <c r="AC66" s="180"/>
      <c r="AD66" s="181" t="s">
        <v>123</v>
      </c>
      <c r="AE66" s="180" t="s">
        <v>143</v>
      </c>
      <c r="AF66" s="180"/>
      <c r="AG66" s="180" t="s">
        <v>144</v>
      </c>
      <c r="AH66" s="180"/>
      <c r="AI66" s="180" t="s">
        <v>145</v>
      </c>
      <c r="AJ66" s="180"/>
      <c r="AK66" s="180" t="s">
        <v>146</v>
      </c>
      <c r="AL66" s="180"/>
      <c r="AM66" s="180"/>
      <c r="AN66" s="180"/>
      <c r="AO66" s="180"/>
      <c r="AP66" s="163"/>
      <c r="AQ66" s="3"/>
    </row>
    <row r="67" spans="1:43" ht="14.45" customHeight="1" x14ac:dyDescent="0.2">
      <c r="A67" s="2"/>
      <c r="B67" s="108"/>
      <c r="C67" s="42">
        <v>7</v>
      </c>
      <c r="D67" s="32" t="s">
        <v>3034</v>
      </c>
      <c r="E67" s="27"/>
      <c r="F67" s="24"/>
      <c r="G67" s="1032"/>
      <c r="H67" s="18"/>
      <c r="I67" s="85"/>
      <c r="J67" s="85"/>
      <c r="K67" s="42"/>
      <c r="L67" s="17"/>
      <c r="M67" s="13"/>
      <c r="N67" s="10"/>
      <c r="O67" s="10"/>
      <c r="P67" s="22"/>
      <c r="Q67" s="85"/>
      <c r="R67" s="85"/>
      <c r="S67" s="42"/>
      <c r="T67" s="13"/>
      <c r="U67" s="13"/>
      <c r="V67" s="18"/>
      <c r="W67" s="49"/>
      <c r="X67" s="87"/>
      <c r="Y67" s="3"/>
      <c r="Z67" s="2"/>
      <c r="AA67" s="162"/>
      <c r="AB67" s="74"/>
      <c r="AC67" s="35"/>
      <c r="AD67" s="74"/>
      <c r="AE67" s="74"/>
      <c r="AF67" s="35"/>
      <c r="AG67" s="24"/>
      <c r="AH67" s="24"/>
      <c r="AI67" s="30"/>
      <c r="AJ67" s="35"/>
      <c r="AK67" s="24"/>
      <c r="AL67" s="24"/>
      <c r="AM67" s="24"/>
      <c r="AN67" s="24"/>
      <c r="AO67" s="35"/>
      <c r="AP67" s="163"/>
      <c r="AQ67" s="3"/>
    </row>
    <row r="68" spans="1:43" ht="14.45" customHeight="1" x14ac:dyDescent="0.2">
      <c r="A68" s="2"/>
      <c r="B68" s="108"/>
      <c r="C68" s="42">
        <v>8</v>
      </c>
      <c r="D68" s="63"/>
      <c r="E68" s="64"/>
      <c r="F68" s="65"/>
      <c r="G68" s="66"/>
      <c r="H68" s="18"/>
      <c r="I68" s="85"/>
      <c r="J68" s="85"/>
      <c r="K68" s="42"/>
      <c r="L68" s="17"/>
      <c r="M68" s="13"/>
      <c r="N68" s="10"/>
      <c r="O68" s="10"/>
      <c r="P68" s="22"/>
      <c r="Q68" s="85"/>
      <c r="R68" s="85"/>
      <c r="S68" s="42"/>
      <c r="T68" s="13"/>
      <c r="U68" s="13"/>
      <c r="V68" s="18"/>
      <c r="W68" s="49"/>
      <c r="X68" s="87"/>
      <c r="Y68" s="3"/>
      <c r="Z68" s="2"/>
      <c r="AA68" s="162"/>
      <c r="AB68" s="75"/>
      <c r="AC68" s="18"/>
      <c r="AD68" s="15"/>
      <c r="AE68" s="15"/>
      <c r="AF68" s="18"/>
      <c r="AG68" s="10"/>
      <c r="AH68" s="10"/>
      <c r="AI68" s="15"/>
      <c r="AJ68" s="18"/>
      <c r="AK68" s="10"/>
      <c r="AL68" s="10"/>
      <c r="AM68" s="10"/>
      <c r="AN68" s="10"/>
      <c r="AO68" s="18"/>
      <c r="AP68" s="163"/>
      <c r="AQ68" s="3"/>
    </row>
    <row r="69" spans="1:43" ht="14.45" customHeight="1" x14ac:dyDescent="0.2">
      <c r="A69" s="2"/>
      <c r="B69" s="108"/>
      <c r="C69" s="42">
        <v>9</v>
      </c>
      <c r="D69" s="63"/>
      <c r="E69" s="64"/>
      <c r="F69" s="65"/>
      <c r="G69" s="66"/>
      <c r="H69" s="18"/>
      <c r="I69" s="85"/>
      <c r="J69" s="85"/>
      <c r="K69" s="42"/>
      <c r="L69" s="17"/>
      <c r="M69" s="13"/>
      <c r="N69" s="10"/>
      <c r="O69" s="10"/>
      <c r="P69" s="22"/>
      <c r="Q69" s="85"/>
      <c r="R69" s="85"/>
      <c r="S69" s="42"/>
      <c r="T69" s="13"/>
      <c r="U69" s="13"/>
      <c r="V69" s="18"/>
      <c r="W69" s="49"/>
      <c r="X69" s="87"/>
      <c r="Y69" s="3"/>
      <c r="Z69" s="2"/>
      <c r="AA69" s="162"/>
      <c r="AB69" s="74"/>
      <c r="AC69" s="35"/>
      <c r="AD69" s="74"/>
      <c r="AE69" s="74"/>
      <c r="AF69" s="35"/>
      <c r="AG69" s="24"/>
      <c r="AH69" s="24"/>
      <c r="AI69" s="30"/>
      <c r="AJ69" s="35"/>
      <c r="AK69" s="24"/>
      <c r="AL69" s="24"/>
      <c r="AM69" s="24"/>
      <c r="AN69" s="24"/>
      <c r="AO69" s="35"/>
      <c r="AP69" s="163"/>
      <c r="AQ69" s="3"/>
    </row>
    <row r="70" spans="1:43" ht="14.45" customHeight="1" x14ac:dyDescent="0.2">
      <c r="A70" s="2"/>
      <c r="B70" s="108"/>
      <c r="C70" s="42">
        <v>10</v>
      </c>
      <c r="D70" s="63"/>
      <c r="E70" s="64"/>
      <c r="F70" s="64"/>
      <c r="G70" s="66"/>
      <c r="H70" s="18"/>
      <c r="I70" s="85"/>
      <c r="J70" s="85"/>
      <c r="K70" s="42"/>
      <c r="L70" s="17"/>
      <c r="M70" s="13"/>
      <c r="N70" s="10"/>
      <c r="O70" s="10"/>
      <c r="P70" s="22"/>
      <c r="Q70" s="85"/>
      <c r="R70" s="85"/>
      <c r="S70" s="42"/>
      <c r="T70" s="13"/>
      <c r="U70" s="13"/>
      <c r="V70" s="18"/>
      <c r="W70" s="49"/>
      <c r="X70" s="87"/>
      <c r="Y70" s="3"/>
      <c r="Z70" s="2"/>
      <c r="AA70" s="162"/>
      <c r="AB70" s="75"/>
      <c r="AC70" s="18"/>
      <c r="AD70" s="15"/>
      <c r="AE70" s="15"/>
      <c r="AF70" s="18"/>
      <c r="AG70" s="24"/>
      <c r="AH70" s="10"/>
      <c r="AI70" s="30"/>
      <c r="AJ70" s="35"/>
      <c r="AK70" s="24"/>
      <c r="AL70" s="24"/>
      <c r="AM70" s="24"/>
      <c r="AN70" s="24"/>
      <c r="AO70" s="35"/>
      <c r="AP70" s="163"/>
      <c r="AQ70" s="3"/>
    </row>
    <row r="71" spans="1:43" ht="14.45" customHeight="1" x14ac:dyDescent="0.2">
      <c r="A71" s="2"/>
      <c r="B71" s="108"/>
      <c r="C71" s="42">
        <v>11</v>
      </c>
      <c r="D71" s="63"/>
      <c r="E71" s="64"/>
      <c r="F71" s="65"/>
      <c r="G71" s="66"/>
      <c r="H71" s="18"/>
      <c r="I71" s="85"/>
      <c r="J71" s="85"/>
      <c r="K71" s="42"/>
      <c r="L71" s="17"/>
      <c r="M71" s="13"/>
      <c r="N71" s="10"/>
      <c r="O71" s="10"/>
      <c r="P71" s="22"/>
      <c r="Q71" s="85"/>
      <c r="R71" s="85"/>
      <c r="S71" s="42"/>
      <c r="T71" s="13"/>
      <c r="U71" s="13"/>
      <c r="V71" s="18"/>
      <c r="W71" s="49"/>
      <c r="X71" s="87"/>
      <c r="Y71" s="3"/>
      <c r="Z71" s="2"/>
      <c r="AA71" s="162"/>
      <c r="AB71" s="75"/>
      <c r="AC71" s="18"/>
      <c r="AD71" s="15"/>
      <c r="AE71" s="15"/>
      <c r="AF71" s="18"/>
      <c r="AG71" s="10"/>
      <c r="AH71" s="10"/>
      <c r="AI71" s="15"/>
      <c r="AJ71" s="18"/>
      <c r="AK71" s="10"/>
      <c r="AL71" s="10"/>
      <c r="AM71" s="10"/>
      <c r="AN71" s="10"/>
      <c r="AO71" s="18"/>
      <c r="AP71" s="163"/>
      <c r="AQ71" s="3"/>
    </row>
    <row r="72" spans="1:43" ht="14.45" customHeight="1" x14ac:dyDescent="0.2">
      <c r="A72" s="2"/>
      <c r="B72" s="108"/>
      <c r="C72" s="42">
        <v>12</v>
      </c>
      <c r="D72" s="67"/>
      <c r="E72" s="150"/>
      <c r="F72" s="151"/>
      <c r="G72" s="152"/>
      <c r="H72" s="18"/>
      <c r="I72" s="85"/>
      <c r="J72" s="85"/>
      <c r="K72" s="42"/>
      <c r="L72" s="17"/>
      <c r="M72" s="13"/>
      <c r="N72" s="10"/>
      <c r="O72" s="10"/>
      <c r="P72" s="22"/>
      <c r="Q72" s="85"/>
      <c r="R72" s="85"/>
      <c r="S72" s="42"/>
      <c r="T72" s="13"/>
      <c r="U72" s="13"/>
      <c r="V72" s="18"/>
      <c r="W72" s="49"/>
      <c r="X72" s="87"/>
      <c r="Y72" s="3"/>
      <c r="Z72" s="2"/>
      <c r="AA72" s="162"/>
      <c r="AB72" s="75"/>
      <c r="AC72" s="18"/>
      <c r="AD72" s="15"/>
      <c r="AE72" s="15"/>
      <c r="AF72" s="18"/>
      <c r="AG72" s="10"/>
      <c r="AH72" s="10"/>
      <c r="AI72" s="15"/>
      <c r="AJ72" s="18"/>
      <c r="AK72" s="10"/>
      <c r="AL72" s="10"/>
      <c r="AM72" s="10"/>
      <c r="AN72" s="10"/>
      <c r="AO72" s="18"/>
      <c r="AP72" s="163"/>
      <c r="AQ72" s="3"/>
    </row>
    <row r="73" spans="1:43" ht="14.45" customHeight="1" x14ac:dyDescent="0.2">
      <c r="A73" s="2"/>
      <c r="B73" s="108"/>
      <c r="C73" s="42">
        <v>13</v>
      </c>
      <c r="D73" s="63"/>
      <c r="E73" s="64"/>
      <c r="F73" s="65"/>
      <c r="G73" s="66"/>
      <c r="H73" s="18"/>
      <c r="I73" s="85"/>
      <c r="J73" s="85"/>
      <c r="K73" s="42"/>
      <c r="L73" s="17"/>
      <c r="M73" s="13"/>
      <c r="N73" s="10"/>
      <c r="O73" s="10"/>
      <c r="P73" s="22"/>
      <c r="Q73" s="85"/>
      <c r="R73" s="85"/>
      <c r="S73" s="42"/>
      <c r="T73" s="13"/>
      <c r="U73" s="13"/>
      <c r="V73" s="18"/>
      <c r="W73" s="49"/>
      <c r="X73" s="87"/>
      <c r="Y73" s="3"/>
      <c r="Z73" s="2"/>
      <c r="AA73" s="162"/>
      <c r="AB73" s="74"/>
      <c r="AC73" s="35"/>
      <c r="AD73" s="74"/>
      <c r="AE73" s="74"/>
      <c r="AF73" s="35"/>
      <c r="AG73" s="24"/>
      <c r="AH73" s="24"/>
      <c r="AI73" s="30"/>
      <c r="AJ73" s="35"/>
      <c r="AK73" s="24"/>
      <c r="AL73" s="24"/>
      <c r="AM73" s="24"/>
      <c r="AN73" s="24"/>
      <c r="AO73" s="35"/>
      <c r="AP73" s="163"/>
      <c r="AQ73" s="3"/>
    </row>
    <row r="74" spans="1:43" ht="14.45" customHeight="1" x14ac:dyDescent="0.25">
      <c r="A74" s="2"/>
      <c r="B74" s="108"/>
      <c r="C74" s="42">
        <v>14</v>
      </c>
      <c r="D74" s="63"/>
      <c r="E74" s="64"/>
      <c r="F74" s="65"/>
      <c r="G74" s="66"/>
      <c r="H74" s="18"/>
      <c r="I74" s="85"/>
      <c r="J74" s="85"/>
      <c r="K74" s="156" t="s">
        <v>117</v>
      </c>
      <c r="L74" s="85"/>
      <c r="M74" s="85"/>
      <c r="N74" s="85"/>
      <c r="O74" s="85"/>
      <c r="P74" s="85"/>
      <c r="Q74" s="85"/>
      <c r="R74" s="85"/>
      <c r="S74" s="156" t="s">
        <v>131</v>
      </c>
      <c r="T74" s="85"/>
      <c r="U74" s="85"/>
      <c r="V74" s="85"/>
      <c r="W74" s="85"/>
      <c r="X74" s="87"/>
      <c r="Y74" s="3"/>
      <c r="Z74" s="2"/>
      <c r="AA74" s="162"/>
      <c r="AB74" s="75"/>
      <c r="AC74" s="18"/>
      <c r="AD74" s="15"/>
      <c r="AE74" s="15"/>
      <c r="AF74" s="18"/>
      <c r="AG74" s="24"/>
      <c r="AH74" s="10"/>
      <c r="AI74" s="30"/>
      <c r="AJ74" s="35"/>
      <c r="AK74" s="24"/>
      <c r="AL74" s="24"/>
      <c r="AM74" s="24"/>
      <c r="AN74" s="24"/>
      <c r="AO74" s="35"/>
      <c r="AP74" s="163"/>
      <c r="AQ74" s="3"/>
    </row>
    <row r="75" spans="1:43" ht="14.45" customHeight="1" x14ac:dyDescent="0.2">
      <c r="A75" s="2"/>
      <c r="B75" s="108"/>
      <c r="C75" s="42">
        <v>15</v>
      </c>
      <c r="D75" s="63"/>
      <c r="E75" s="64"/>
      <c r="F75" s="64"/>
      <c r="G75" s="66"/>
      <c r="H75" s="18"/>
      <c r="I75" s="85"/>
      <c r="J75" s="85"/>
      <c r="K75" s="128" t="s">
        <v>114</v>
      </c>
      <c r="L75" s="128"/>
      <c r="M75" s="128"/>
      <c r="N75" s="128"/>
      <c r="O75" s="128"/>
      <c r="P75" s="1068" t="s">
        <v>119</v>
      </c>
      <c r="Q75" s="85"/>
      <c r="R75" s="85"/>
      <c r="S75" s="128" t="s">
        <v>132</v>
      </c>
      <c r="T75" s="85"/>
      <c r="U75" s="85"/>
      <c r="V75" s="85"/>
      <c r="W75" s="155" t="s">
        <v>119</v>
      </c>
      <c r="X75" s="87"/>
      <c r="Y75" s="3"/>
      <c r="Z75" s="2"/>
      <c r="AA75" s="162"/>
      <c r="AB75" s="75"/>
      <c r="AC75" s="18"/>
      <c r="AD75" s="15"/>
      <c r="AE75" s="15"/>
      <c r="AF75" s="18"/>
      <c r="AG75" s="10"/>
      <c r="AH75" s="10"/>
      <c r="AI75" s="15"/>
      <c r="AJ75" s="18"/>
      <c r="AK75" s="10"/>
      <c r="AL75" s="10"/>
      <c r="AM75" s="10"/>
      <c r="AN75" s="10"/>
      <c r="AO75" s="18"/>
      <c r="AP75" s="163"/>
      <c r="AQ75" s="3"/>
    </row>
    <row r="76" spans="1:43" ht="14.45" customHeight="1" x14ac:dyDescent="0.2">
      <c r="A76" s="2"/>
      <c r="B76" s="108"/>
      <c r="C76" s="42">
        <v>16</v>
      </c>
      <c r="D76" s="63"/>
      <c r="E76" s="64"/>
      <c r="F76" s="65"/>
      <c r="G76" s="66"/>
      <c r="H76" s="18"/>
      <c r="I76" s="85"/>
      <c r="J76" s="85"/>
      <c r="K76" s="67" t="s">
        <v>2587</v>
      </c>
      <c r="L76" s="150"/>
      <c r="M76" s="151"/>
      <c r="N76" s="151"/>
      <c r="O76" s="1065"/>
      <c r="P76" s="1069" t="str">
        <f>IF('Heka Generation'!$AD$36&gt;0,'Heka Generation'!$AD4,'Heka Generation'!$AE4)</f>
        <v/>
      </c>
      <c r="Q76" s="85"/>
      <c r="R76" s="85"/>
      <c r="S76" s="34"/>
      <c r="T76" s="27"/>
      <c r="U76" s="27"/>
      <c r="V76" s="35"/>
      <c r="W76" s="41"/>
      <c r="X76" s="87"/>
      <c r="Y76" s="3"/>
      <c r="Z76" s="2"/>
      <c r="AA76" s="162"/>
      <c r="AB76" s="74"/>
      <c r="AC76" s="35"/>
      <c r="AD76" s="74"/>
      <c r="AE76" s="74"/>
      <c r="AF76" s="35"/>
      <c r="AG76" s="24"/>
      <c r="AH76" s="24"/>
      <c r="AI76" s="30"/>
      <c r="AJ76" s="35"/>
      <c r="AK76" s="24"/>
      <c r="AL76" s="24"/>
      <c r="AM76" s="24"/>
      <c r="AN76" s="24"/>
      <c r="AO76" s="35"/>
      <c r="AP76" s="163"/>
      <c r="AQ76" s="3"/>
    </row>
    <row r="77" spans="1:43" ht="14.45" customHeight="1" x14ac:dyDescent="0.2">
      <c r="A77" s="2"/>
      <c r="B77" s="108"/>
      <c r="C77" s="42">
        <v>17</v>
      </c>
      <c r="D77" s="63"/>
      <c r="E77" s="64"/>
      <c r="F77" s="65"/>
      <c r="G77" s="76"/>
      <c r="H77" s="18"/>
      <c r="I77" s="85"/>
      <c r="J77" s="85"/>
      <c r="K77" s="63" t="s">
        <v>2589</v>
      </c>
      <c r="L77" s="150"/>
      <c r="M77" s="65"/>
      <c r="N77" s="65"/>
      <c r="O77" s="1066"/>
      <c r="P77" s="1073" t="str">
        <f>IF('Heka Generation'!$AD$36&gt;0,'Heka Generation'!$AD5,'Heka Generation'!$AE5)</f>
        <v/>
      </c>
      <c r="Q77" s="85"/>
      <c r="R77" s="85"/>
      <c r="S77" s="34"/>
      <c r="T77" s="27"/>
      <c r="U77" s="27"/>
      <c r="V77" s="35"/>
      <c r="W77" s="41"/>
      <c r="X77" s="87"/>
      <c r="Y77" s="3"/>
      <c r="Z77" s="2"/>
      <c r="AA77" s="162"/>
      <c r="AB77" s="75"/>
      <c r="AC77" s="18"/>
      <c r="AD77" s="15"/>
      <c r="AE77" s="15"/>
      <c r="AF77" s="18"/>
      <c r="AG77" s="24"/>
      <c r="AH77" s="10"/>
      <c r="AI77" s="30"/>
      <c r="AJ77" s="35"/>
      <c r="AK77" s="24"/>
      <c r="AL77" s="24"/>
      <c r="AM77" s="24"/>
      <c r="AN77" s="24"/>
      <c r="AO77" s="35"/>
      <c r="AP77" s="163"/>
      <c r="AQ77" s="3"/>
    </row>
    <row r="78" spans="1:43" ht="14.45" customHeight="1" x14ac:dyDescent="0.2">
      <c r="A78" s="2"/>
      <c r="B78" s="108"/>
      <c r="C78" s="42">
        <v>18</v>
      </c>
      <c r="D78" s="63"/>
      <c r="E78" s="64"/>
      <c r="F78" s="65"/>
      <c r="G78" s="66"/>
      <c r="H78" s="18"/>
      <c r="I78" s="85"/>
      <c r="J78" s="85"/>
      <c r="K78" s="63" t="s">
        <v>2592</v>
      </c>
      <c r="L78" s="150"/>
      <c r="M78" s="65"/>
      <c r="N78" s="65"/>
      <c r="O78" s="65"/>
      <c r="P78" s="1069" t="str">
        <f>IF('Heka Generation'!$AD$36&gt;0,'Heka Generation'!$AD6,'Heka Generation'!$AE6)</f>
        <v/>
      </c>
      <c r="Q78" s="85"/>
      <c r="R78" s="85"/>
      <c r="S78" s="34"/>
      <c r="T78" s="27"/>
      <c r="U78" s="27"/>
      <c r="V78" s="35"/>
      <c r="W78" s="41"/>
      <c r="X78" s="87"/>
      <c r="Y78" s="3"/>
      <c r="Z78" s="2"/>
      <c r="AA78" s="162"/>
      <c r="AB78" s="75"/>
      <c r="AC78" s="18"/>
      <c r="AD78" s="15"/>
      <c r="AE78" s="15"/>
      <c r="AF78" s="18"/>
      <c r="AG78" s="10"/>
      <c r="AH78" s="10"/>
      <c r="AI78" s="15"/>
      <c r="AJ78" s="18"/>
      <c r="AK78" s="10"/>
      <c r="AL78" s="10"/>
      <c r="AM78" s="10"/>
      <c r="AN78" s="10"/>
      <c r="AO78" s="18"/>
      <c r="AP78" s="163"/>
      <c r="AQ78" s="3"/>
    </row>
    <row r="79" spans="1:43" ht="14.45" customHeight="1" x14ac:dyDescent="0.2">
      <c r="A79" s="2"/>
      <c r="B79" s="108"/>
      <c r="C79" s="42">
        <v>19</v>
      </c>
      <c r="D79" s="63"/>
      <c r="E79" s="64"/>
      <c r="F79" s="65"/>
      <c r="G79" s="66"/>
      <c r="H79" s="18"/>
      <c r="I79" s="85"/>
      <c r="J79" s="85"/>
      <c r="K79" s="63" t="s">
        <v>2594</v>
      </c>
      <c r="L79" s="150"/>
      <c r="M79" s="65"/>
      <c r="N79" s="65"/>
      <c r="O79" s="65"/>
      <c r="P79" s="1069" t="str">
        <f>IF('Heka Generation'!$AD$36&gt;0,'Heka Generation'!$AD7,'Heka Generation'!$AE7)</f>
        <v/>
      </c>
      <c r="Q79" s="85"/>
      <c r="R79" s="85"/>
      <c r="S79" s="34"/>
      <c r="T79" s="27"/>
      <c r="U79" s="27"/>
      <c r="V79" s="35"/>
      <c r="W79" s="41"/>
      <c r="X79" s="87"/>
      <c r="Y79" s="3"/>
      <c r="Z79" s="2"/>
      <c r="AA79" s="162"/>
      <c r="AB79" s="75"/>
      <c r="AC79" s="18"/>
      <c r="AD79" s="15"/>
      <c r="AE79" s="15"/>
      <c r="AF79" s="18"/>
      <c r="AG79" s="10"/>
      <c r="AH79" s="10"/>
      <c r="AI79" s="15"/>
      <c r="AJ79" s="18"/>
      <c r="AK79" s="10"/>
      <c r="AL79" s="10"/>
      <c r="AM79" s="10"/>
      <c r="AN79" s="10"/>
      <c r="AO79" s="18"/>
      <c r="AP79" s="163"/>
      <c r="AQ79" s="3"/>
    </row>
    <row r="80" spans="1:43" ht="14.45" customHeight="1" x14ac:dyDescent="0.2">
      <c r="A80" s="2"/>
      <c r="B80" s="108"/>
      <c r="C80" s="42">
        <v>20</v>
      </c>
      <c r="D80" s="63"/>
      <c r="E80" s="64"/>
      <c r="F80" s="65"/>
      <c r="G80" s="66"/>
      <c r="H80" s="18"/>
      <c r="I80" s="85"/>
      <c r="J80" s="85"/>
      <c r="K80" s="63" t="s">
        <v>2597</v>
      </c>
      <c r="L80" s="150"/>
      <c r="M80" s="65"/>
      <c r="N80" s="65"/>
      <c r="O80" s="65"/>
      <c r="P80" s="1073" t="str">
        <f>IF('Heka Generation'!$AD$36&gt;0,'Heka Generation'!$AD8,'Heka Generation'!$AE8)</f>
        <v/>
      </c>
      <c r="Q80" s="85"/>
      <c r="R80" s="85"/>
      <c r="S80" s="34"/>
      <c r="T80" s="27"/>
      <c r="U80" s="27"/>
      <c r="V80" s="35"/>
      <c r="W80" s="41"/>
      <c r="X80" s="87"/>
      <c r="Y80" s="3"/>
      <c r="Z80" s="2"/>
      <c r="AA80" s="162"/>
      <c r="AB80" s="74"/>
      <c r="AC80" s="35"/>
      <c r="AD80" s="74"/>
      <c r="AE80" s="74"/>
      <c r="AF80" s="35"/>
      <c r="AG80" s="24"/>
      <c r="AH80" s="24"/>
      <c r="AI80" s="30"/>
      <c r="AJ80" s="35"/>
      <c r="AK80" s="24"/>
      <c r="AL80" s="24"/>
      <c r="AM80" s="24"/>
      <c r="AN80" s="24"/>
      <c r="AO80" s="35"/>
      <c r="AP80" s="163"/>
      <c r="AQ80" s="3"/>
    </row>
    <row r="81" spans="1:43" ht="14.45" customHeight="1" x14ac:dyDescent="0.2">
      <c r="A81" s="2"/>
      <c r="B81" s="108"/>
      <c r="C81" s="42">
        <v>21</v>
      </c>
      <c r="D81" s="71"/>
      <c r="E81" s="72"/>
      <c r="F81" s="73"/>
      <c r="G81" s="77"/>
      <c r="H81" s="35"/>
      <c r="I81" s="94"/>
      <c r="J81" s="94"/>
      <c r="K81" s="63" t="s">
        <v>2599</v>
      </c>
      <c r="L81" s="150"/>
      <c r="M81" s="65"/>
      <c r="N81" s="65"/>
      <c r="O81" s="65"/>
      <c r="P81" s="1073" t="str">
        <f>IF('Heka Generation'!$AD$36&gt;0,'Heka Generation'!$AD9,'Heka Generation'!$AE9)</f>
        <v/>
      </c>
      <c r="Q81" s="85"/>
      <c r="R81" s="85"/>
      <c r="S81" s="34"/>
      <c r="T81" s="27"/>
      <c r="U81" s="27"/>
      <c r="V81" s="35"/>
      <c r="W81" s="41"/>
      <c r="X81" s="87"/>
      <c r="Y81" s="3"/>
      <c r="Z81" s="2"/>
      <c r="AA81" s="162"/>
      <c r="AB81" s="75"/>
      <c r="AC81" s="18"/>
      <c r="AD81" s="15"/>
      <c r="AE81" s="15"/>
      <c r="AF81" s="18"/>
      <c r="AG81" s="24"/>
      <c r="AH81" s="10"/>
      <c r="AI81" s="30"/>
      <c r="AJ81" s="35"/>
      <c r="AK81" s="24"/>
      <c r="AL81" s="24"/>
      <c r="AM81" s="24"/>
      <c r="AN81" s="24"/>
      <c r="AO81" s="35"/>
      <c r="AP81" s="163"/>
      <c r="AQ81" s="3"/>
    </row>
    <row r="82" spans="1:43" ht="14.45" customHeight="1" x14ac:dyDescent="0.2">
      <c r="A82" s="2"/>
      <c r="B82" s="108"/>
      <c r="C82" s="42">
        <v>22</v>
      </c>
      <c r="D82" s="71"/>
      <c r="E82" s="72"/>
      <c r="F82" s="73"/>
      <c r="G82" s="77"/>
      <c r="H82" s="18"/>
      <c r="I82" s="94"/>
      <c r="J82" s="94"/>
      <c r="K82" s="63" t="s">
        <v>2980</v>
      </c>
      <c r="L82" s="150"/>
      <c r="M82" s="65"/>
      <c r="N82" s="65"/>
      <c r="O82" s="65"/>
      <c r="P82" s="1074" t="str">
        <f>IF('Heka Generation'!$AD$36&gt;0,'Heka Generation'!$AD10,'Heka Generation'!$AE10)</f>
        <v/>
      </c>
      <c r="Q82" s="85"/>
      <c r="R82" s="85"/>
      <c r="S82" s="34"/>
      <c r="T82" s="27"/>
      <c r="U82" s="27"/>
      <c r="V82" s="35"/>
      <c r="W82" s="41"/>
      <c r="X82" s="87"/>
      <c r="Y82" s="3"/>
      <c r="Z82" s="2"/>
      <c r="AA82" s="162"/>
      <c r="AB82" s="75"/>
      <c r="AC82" s="18"/>
      <c r="AD82" s="15"/>
      <c r="AE82" s="15"/>
      <c r="AF82" s="18"/>
      <c r="AG82" s="10"/>
      <c r="AH82" s="10"/>
      <c r="AI82" s="15"/>
      <c r="AJ82" s="18"/>
      <c r="AK82" s="10"/>
      <c r="AL82" s="10"/>
      <c r="AM82" s="10"/>
      <c r="AN82" s="10"/>
      <c r="AO82" s="18"/>
      <c r="AP82" s="163"/>
      <c r="AQ82" s="3"/>
    </row>
    <row r="83" spans="1:43" ht="14.45" customHeight="1" x14ac:dyDescent="0.2">
      <c r="A83" s="2"/>
      <c r="B83" s="108"/>
      <c r="C83" s="42">
        <v>23</v>
      </c>
      <c r="D83" s="71"/>
      <c r="E83" s="72"/>
      <c r="F83" s="73"/>
      <c r="G83" s="77"/>
      <c r="H83" s="18"/>
      <c r="I83" s="94"/>
      <c r="J83" s="94"/>
      <c r="K83" s="1060" t="s">
        <v>2602</v>
      </c>
      <c r="L83" s="1061"/>
      <c r="M83" s="1062"/>
      <c r="N83" s="1062"/>
      <c r="O83" s="1062"/>
      <c r="P83" s="1069" t="str">
        <f>IF('Heka Generation'!$AD$36&gt;0,'Heka Generation'!$AD11,'Heka Generation'!$AE11)</f>
        <v/>
      </c>
      <c r="Q83" s="85"/>
      <c r="R83" s="85"/>
      <c r="S83" s="34"/>
      <c r="T83" s="27"/>
      <c r="U83" s="27"/>
      <c r="V83" s="35"/>
      <c r="W83" s="41"/>
      <c r="X83" s="87"/>
      <c r="Y83" s="3"/>
      <c r="Z83" s="2"/>
      <c r="AA83" s="162"/>
      <c r="AB83" s="74"/>
      <c r="AC83" s="35"/>
      <c r="AD83" s="74"/>
      <c r="AE83" s="74"/>
      <c r="AF83" s="35"/>
      <c r="AG83" s="24"/>
      <c r="AH83" s="24"/>
      <c r="AI83" s="30"/>
      <c r="AJ83" s="35"/>
      <c r="AK83" s="24"/>
      <c r="AL83" s="24"/>
      <c r="AM83" s="24"/>
      <c r="AN83" s="24"/>
      <c r="AO83" s="35"/>
      <c r="AP83" s="163"/>
      <c r="AQ83" s="3"/>
    </row>
    <row r="84" spans="1:43" ht="14.45" customHeight="1" x14ac:dyDescent="0.2">
      <c r="A84" s="2"/>
      <c r="B84" s="108"/>
      <c r="C84" s="42">
        <v>24</v>
      </c>
      <c r="D84" s="71"/>
      <c r="E84" s="72"/>
      <c r="F84" s="73"/>
      <c r="G84" s="153"/>
      <c r="H84" s="18"/>
      <c r="I84" s="94"/>
      <c r="J84" s="94"/>
      <c r="K84" s="1060" t="s">
        <v>2604</v>
      </c>
      <c r="L84" s="1061"/>
      <c r="M84" s="1063"/>
      <c r="N84" s="1063"/>
      <c r="O84" s="1063"/>
      <c r="P84" s="1073" t="str">
        <f>IF('Heka Generation'!$AD$36&gt;0,'Heka Generation'!$AD12,'Heka Generation'!$AE12)</f>
        <v/>
      </c>
      <c r="Q84" s="85"/>
      <c r="R84" s="85"/>
      <c r="S84" s="34"/>
      <c r="T84" s="27"/>
      <c r="U84" s="27"/>
      <c r="V84" s="35"/>
      <c r="W84" s="41"/>
      <c r="X84" s="87"/>
      <c r="Y84" s="3"/>
      <c r="Z84" s="2"/>
      <c r="AA84" s="162"/>
      <c r="AB84" s="75"/>
      <c r="AC84" s="18"/>
      <c r="AD84" s="15"/>
      <c r="AE84" s="15"/>
      <c r="AF84" s="18"/>
      <c r="AG84" s="24"/>
      <c r="AH84" s="10"/>
      <c r="AI84" s="30"/>
      <c r="AJ84" s="35"/>
      <c r="AK84" s="24"/>
      <c r="AL84" s="24"/>
      <c r="AM84" s="24"/>
      <c r="AN84" s="24"/>
      <c r="AO84" s="35"/>
      <c r="AP84" s="163"/>
      <c r="AQ84" s="3"/>
    </row>
    <row r="85" spans="1:43" ht="14.45" customHeight="1" x14ac:dyDescent="0.2">
      <c r="A85" s="2"/>
      <c r="B85" s="108"/>
      <c r="C85" s="42">
        <v>25</v>
      </c>
      <c r="D85" s="71"/>
      <c r="E85" s="72"/>
      <c r="F85" s="73"/>
      <c r="G85" s="77"/>
      <c r="H85" s="18"/>
      <c r="I85" s="94"/>
      <c r="J85" s="94"/>
      <c r="K85" s="1060" t="s">
        <v>2606</v>
      </c>
      <c r="L85" s="1061"/>
      <c r="M85" s="1062"/>
      <c r="N85" s="1062"/>
      <c r="O85" s="1062"/>
      <c r="P85" s="1073" t="str">
        <f>IF('Heka Generation'!$AD$36&gt;0,'Heka Generation'!$AD13,'Heka Generation'!$AE13)</f>
        <v/>
      </c>
      <c r="Q85" s="85"/>
      <c r="R85" s="85"/>
      <c r="S85" s="34"/>
      <c r="T85" s="27"/>
      <c r="U85" s="27"/>
      <c r="V85" s="35"/>
      <c r="W85" s="41"/>
      <c r="X85" s="87"/>
      <c r="Y85" s="3"/>
      <c r="Z85" s="2"/>
      <c r="AA85" s="162"/>
      <c r="AB85" s="75"/>
      <c r="AC85" s="18"/>
      <c r="AD85" s="15"/>
      <c r="AE85" s="15"/>
      <c r="AF85" s="18"/>
      <c r="AG85" s="10"/>
      <c r="AH85" s="10"/>
      <c r="AI85" s="15"/>
      <c r="AJ85" s="18"/>
      <c r="AK85" s="10"/>
      <c r="AL85" s="10"/>
      <c r="AM85" s="10"/>
      <c r="AN85" s="10"/>
      <c r="AO85" s="18"/>
      <c r="AP85" s="163"/>
      <c r="AQ85" s="3"/>
    </row>
    <row r="86" spans="1:43" ht="14.45" customHeight="1" x14ac:dyDescent="0.2">
      <c r="A86" s="2"/>
      <c r="B86" s="108"/>
      <c r="C86" s="42">
        <v>26</v>
      </c>
      <c r="D86" s="71"/>
      <c r="E86" s="72"/>
      <c r="F86" s="73"/>
      <c r="G86" s="77"/>
      <c r="H86" s="18"/>
      <c r="I86" s="94"/>
      <c r="J86" s="94"/>
      <c r="K86" s="1060" t="s">
        <v>2609</v>
      </c>
      <c r="L86" s="1061"/>
      <c r="M86" s="1062"/>
      <c r="N86" s="1062"/>
      <c r="O86" s="1062"/>
      <c r="P86" s="1073" t="str">
        <f>IF('Heka Generation'!$AD$36&gt;0,'Heka Generation'!$AD14,'Heka Generation'!$AE14)</f>
        <v/>
      </c>
      <c r="Q86" s="85"/>
      <c r="R86" s="85"/>
      <c r="S86" s="34"/>
      <c r="T86" s="27"/>
      <c r="U86" s="27"/>
      <c r="V86" s="35"/>
      <c r="W86" s="41"/>
      <c r="X86" s="87"/>
      <c r="Y86" s="3"/>
      <c r="Z86" s="2"/>
      <c r="AA86" s="162"/>
      <c r="AB86" s="75"/>
      <c r="AC86" s="18"/>
      <c r="AD86" s="15"/>
      <c r="AE86" s="15"/>
      <c r="AF86" s="18"/>
      <c r="AG86" s="10"/>
      <c r="AH86" s="10"/>
      <c r="AI86" s="15"/>
      <c r="AJ86" s="18"/>
      <c r="AK86" s="10"/>
      <c r="AL86" s="10"/>
      <c r="AM86" s="10"/>
      <c r="AN86" s="10"/>
      <c r="AO86" s="18"/>
      <c r="AP86" s="163"/>
      <c r="AQ86" s="3"/>
    </row>
    <row r="87" spans="1:43" ht="14.45" customHeight="1" x14ac:dyDescent="0.2">
      <c r="A87" s="2"/>
      <c r="B87" s="108"/>
      <c r="C87" s="42">
        <v>27</v>
      </c>
      <c r="D87" s="71"/>
      <c r="E87" s="72"/>
      <c r="F87" s="73"/>
      <c r="G87" s="77"/>
      <c r="H87" s="18"/>
      <c r="I87" s="94"/>
      <c r="J87" s="94"/>
      <c r="K87" s="1060" t="s">
        <v>3021</v>
      </c>
      <c r="L87" s="1061"/>
      <c r="M87" s="1062"/>
      <c r="N87" s="1062"/>
      <c r="O87" s="1062"/>
      <c r="P87" s="1073" t="str">
        <f>IF('Heka Generation'!$AD$36&gt;0,'Heka Generation'!$AD15,'Heka Generation'!$AE15)</f>
        <v/>
      </c>
      <c r="Q87" s="85"/>
      <c r="R87" s="85"/>
      <c r="S87" s="34"/>
      <c r="T87" s="27"/>
      <c r="U87" s="27"/>
      <c r="V87" s="35"/>
      <c r="W87" s="41"/>
      <c r="X87" s="87"/>
      <c r="Y87" s="3"/>
      <c r="Z87" s="2"/>
      <c r="AA87" s="162"/>
      <c r="AB87" s="74"/>
      <c r="AC87" s="35"/>
      <c r="AD87" s="74"/>
      <c r="AE87" s="74"/>
      <c r="AF87" s="35"/>
      <c r="AG87" s="24"/>
      <c r="AH87" s="24"/>
      <c r="AI87" s="30"/>
      <c r="AJ87" s="35"/>
      <c r="AK87" s="24"/>
      <c r="AL87" s="24"/>
      <c r="AM87" s="24"/>
      <c r="AN87" s="24"/>
      <c r="AO87" s="35"/>
      <c r="AP87" s="163"/>
      <c r="AQ87" s="3"/>
    </row>
    <row r="88" spans="1:43" ht="14.45" customHeight="1" x14ac:dyDescent="0.2">
      <c r="A88" s="2"/>
      <c r="B88" s="108"/>
      <c r="C88" s="42">
        <v>28</v>
      </c>
      <c r="D88" s="71"/>
      <c r="E88" s="72"/>
      <c r="F88" s="73"/>
      <c r="G88" s="77"/>
      <c r="H88" s="35"/>
      <c r="I88" s="94"/>
      <c r="J88" s="94"/>
      <c r="K88" s="68" t="s">
        <v>2612</v>
      </c>
      <c r="L88" s="1064"/>
      <c r="M88" s="70"/>
      <c r="N88" s="70"/>
      <c r="O88" s="70"/>
      <c r="P88" s="1073" t="str">
        <f>IF('Heka Generation'!$AD$36&gt;0,'Heka Generation'!$AD16,'Heka Generation'!$AE16)</f>
        <v/>
      </c>
      <c r="Q88" s="85"/>
      <c r="R88" s="85"/>
      <c r="S88" s="34"/>
      <c r="T88" s="27"/>
      <c r="U88" s="27"/>
      <c r="V88" s="35"/>
      <c r="W88" s="41"/>
      <c r="X88" s="87"/>
      <c r="Y88" s="3"/>
      <c r="Z88" s="2"/>
      <c r="AA88" s="162"/>
      <c r="AB88" s="75"/>
      <c r="AC88" s="18"/>
      <c r="AD88" s="15"/>
      <c r="AE88" s="15"/>
      <c r="AF88" s="18"/>
      <c r="AG88" s="24"/>
      <c r="AH88" s="10"/>
      <c r="AI88" s="30"/>
      <c r="AJ88" s="35"/>
      <c r="AK88" s="24"/>
      <c r="AL88" s="24"/>
      <c r="AM88" s="24"/>
      <c r="AN88" s="24"/>
      <c r="AO88" s="35"/>
      <c r="AP88" s="163"/>
      <c r="AQ88" s="3"/>
    </row>
    <row r="89" spans="1:43" ht="14.45" customHeight="1" x14ac:dyDescent="0.2">
      <c r="A89" s="2"/>
      <c r="B89" s="108"/>
      <c r="C89" s="42">
        <v>29</v>
      </c>
      <c r="D89" s="71"/>
      <c r="E89" s="72"/>
      <c r="F89" s="73"/>
      <c r="G89" s="77"/>
      <c r="H89" s="18"/>
      <c r="I89" s="94"/>
      <c r="J89" s="94"/>
      <c r="K89" s="68" t="s">
        <v>2615</v>
      </c>
      <c r="L89" s="1064"/>
      <c r="M89" s="70"/>
      <c r="N89" s="70"/>
      <c r="O89" s="70"/>
      <c r="P89" s="1073" t="str">
        <f>IF('Heka Generation'!$AD$36&gt;0,'Heka Generation'!$AD17,'Heka Generation'!$AE17)</f>
        <v/>
      </c>
      <c r="Q89" s="85"/>
      <c r="R89" s="85"/>
      <c r="S89" s="34"/>
      <c r="T89" s="27"/>
      <c r="U89" s="27"/>
      <c r="V89" s="35"/>
      <c r="W89" s="41"/>
      <c r="X89" s="87"/>
      <c r="Y89" s="3"/>
      <c r="Z89" s="2"/>
      <c r="AA89" s="162"/>
      <c r="AB89" s="74"/>
      <c r="AC89" s="35"/>
      <c r="AD89" s="74"/>
      <c r="AE89" s="74"/>
      <c r="AF89" s="35"/>
      <c r="AG89" s="24"/>
      <c r="AH89" s="24"/>
      <c r="AI89" s="30"/>
      <c r="AJ89" s="35"/>
      <c r="AK89" s="24"/>
      <c r="AL89" s="24"/>
      <c r="AM89" s="24"/>
      <c r="AN89" s="24"/>
      <c r="AO89" s="35"/>
      <c r="AP89" s="163"/>
      <c r="AQ89" s="3"/>
    </row>
    <row r="90" spans="1:43" ht="14.45" customHeight="1" x14ac:dyDescent="0.2">
      <c r="A90" s="2"/>
      <c r="B90" s="108"/>
      <c r="C90" s="42">
        <v>30</v>
      </c>
      <c r="D90" s="71"/>
      <c r="E90" s="72"/>
      <c r="F90" s="73"/>
      <c r="G90" s="77"/>
      <c r="H90" s="18"/>
      <c r="I90" s="94"/>
      <c r="J90" s="94"/>
      <c r="K90" s="68" t="s">
        <v>2617</v>
      </c>
      <c r="L90" s="1064"/>
      <c r="M90" s="70"/>
      <c r="N90" s="70"/>
      <c r="O90" s="70"/>
      <c r="P90" s="1073" t="str">
        <f>IF('Heka Generation'!$AD$36&gt;0,'Heka Generation'!$AD18,'Heka Generation'!$AE18)</f>
        <v/>
      </c>
      <c r="Q90" s="85"/>
      <c r="R90" s="85"/>
      <c r="S90" s="34"/>
      <c r="T90" s="27"/>
      <c r="U90" s="27"/>
      <c r="V90" s="35"/>
      <c r="W90" s="41"/>
      <c r="X90" s="87"/>
      <c r="Y90" s="3"/>
      <c r="Z90" s="2"/>
      <c r="AA90" s="162"/>
      <c r="AB90" s="75"/>
      <c r="AC90" s="18"/>
      <c r="AD90" s="15"/>
      <c r="AE90" s="15"/>
      <c r="AF90" s="18"/>
      <c r="AG90" s="24"/>
      <c r="AH90" s="10"/>
      <c r="AI90" s="30"/>
      <c r="AJ90" s="35"/>
      <c r="AK90" s="24"/>
      <c r="AL90" s="24"/>
      <c r="AM90" s="24"/>
      <c r="AN90" s="24"/>
      <c r="AO90" s="35"/>
      <c r="AP90" s="163"/>
      <c r="AQ90" s="3"/>
    </row>
    <row r="91" spans="1:43" ht="14.45" customHeight="1" x14ac:dyDescent="0.2">
      <c r="A91" s="2"/>
      <c r="B91" s="108"/>
      <c r="C91" s="42">
        <v>31</v>
      </c>
      <c r="D91" s="71"/>
      <c r="E91" s="72"/>
      <c r="F91" s="73"/>
      <c r="G91" s="153"/>
      <c r="H91" s="18"/>
      <c r="I91" s="94"/>
      <c r="J91" s="94"/>
      <c r="K91" s="68" t="s">
        <v>2619</v>
      </c>
      <c r="L91" s="1064"/>
      <c r="M91" s="70"/>
      <c r="N91" s="70"/>
      <c r="O91" s="70"/>
      <c r="P91" s="1073" t="str">
        <f>IF('Heka Generation'!$AD$36&gt;0,'Heka Generation'!$AD19,'Heka Generation'!$AE19)</f>
        <v/>
      </c>
      <c r="Q91" s="85"/>
      <c r="R91" s="85"/>
      <c r="S91" s="34"/>
      <c r="T91" s="27"/>
      <c r="U91" s="27"/>
      <c r="V91" s="35"/>
      <c r="W91" s="41"/>
      <c r="X91" s="87"/>
      <c r="Y91" s="3"/>
      <c r="Z91" s="2"/>
      <c r="AA91" s="162"/>
      <c r="AB91" s="75"/>
      <c r="AC91" s="18"/>
      <c r="AD91" s="15"/>
      <c r="AE91" s="15"/>
      <c r="AF91" s="18"/>
      <c r="AG91" s="10"/>
      <c r="AH91" s="10"/>
      <c r="AI91" s="15"/>
      <c r="AJ91" s="18"/>
      <c r="AK91" s="10"/>
      <c r="AL91" s="10"/>
      <c r="AM91" s="10"/>
      <c r="AN91" s="10"/>
      <c r="AO91" s="18"/>
      <c r="AP91" s="163"/>
      <c r="AQ91" s="3"/>
    </row>
    <row r="92" spans="1:43" ht="14.45" customHeight="1" x14ac:dyDescent="0.2">
      <c r="A92" s="2"/>
      <c r="B92" s="108"/>
      <c r="C92" s="42">
        <v>32</v>
      </c>
      <c r="D92" s="71"/>
      <c r="E92" s="72"/>
      <c r="F92" s="73"/>
      <c r="G92" s="77"/>
      <c r="H92" s="18"/>
      <c r="I92" s="94"/>
      <c r="J92" s="94"/>
      <c r="K92" s="68" t="s">
        <v>2620</v>
      </c>
      <c r="L92" s="1064"/>
      <c r="M92" s="70"/>
      <c r="N92" s="70"/>
      <c r="O92" s="70"/>
      <c r="P92" s="1073" t="str">
        <f>IF('Heka Generation'!$AD$36&gt;0,'Heka Generation'!$AD20,'Heka Generation'!$AE20)</f>
        <v/>
      </c>
      <c r="Q92" s="85"/>
      <c r="R92" s="85"/>
      <c r="S92" s="34"/>
      <c r="T92" s="27"/>
      <c r="U92" s="27"/>
      <c r="V92" s="35"/>
      <c r="W92" s="41"/>
      <c r="X92" s="87"/>
      <c r="Y92" s="3"/>
      <c r="Z92" s="2"/>
      <c r="AA92" s="162"/>
      <c r="AB92" s="75"/>
      <c r="AC92" s="18"/>
      <c r="AD92" s="15"/>
      <c r="AE92" s="15"/>
      <c r="AF92" s="18"/>
      <c r="AG92" s="10"/>
      <c r="AH92" s="10"/>
      <c r="AI92" s="15"/>
      <c r="AJ92" s="18"/>
      <c r="AK92" s="10"/>
      <c r="AL92" s="10"/>
      <c r="AM92" s="10"/>
      <c r="AN92" s="10"/>
      <c r="AO92" s="18"/>
      <c r="AP92" s="163"/>
      <c r="AQ92" s="3"/>
    </row>
    <row r="93" spans="1:43" ht="14.45" customHeight="1" x14ac:dyDescent="0.2">
      <c r="A93" s="2"/>
      <c r="B93" s="108"/>
      <c r="C93" s="42">
        <v>33</v>
      </c>
      <c r="D93" s="71"/>
      <c r="E93" s="72"/>
      <c r="F93" s="73"/>
      <c r="G93" s="77"/>
      <c r="H93" s="18"/>
      <c r="I93" s="94"/>
      <c r="J93" s="94"/>
      <c r="K93" s="68" t="s">
        <v>2622</v>
      </c>
      <c r="L93" s="1064"/>
      <c r="M93" s="70"/>
      <c r="N93" s="70"/>
      <c r="O93" s="70"/>
      <c r="P93" s="1073" t="str">
        <f>IF('Heka Generation'!$AD$36&gt;0,'Heka Generation'!$AD21,'Heka Generation'!$AE21)</f>
        <v/>
      </c>
      <c r="Q93" s="85"/>
      <c r="R93" s="85"/>
      <c r="S93" s="34"/>
      <c r="T93" s="27"/>
      <c r="U93" s="27"/>
      <c r="V93" s="35"/>
      <c r="W93" s="41"/>
      <c r="X93" s="87"/>
      <c r="Y93" s="3"/>
      <c r="Z93" s="2"/>
      <c r="AA93" s="162"/>
      <c r="AB93" s="74"/>
      <c r="AC93" s="35"/>
      <c r="AD93" s="74"/>
      <c r="AE93" s="74"/>
      <c r="AF93" s="35"/>
      <c r="AG93" s="24"/>
      <c r="AH93" s="24"/>
      <c r="AI93" s="30"/>
      <c r="AJ93" s="35"/>
      <c r="AK93" s="24"/>
      <c r="AL93" s="24"/>
      <c r="AM93" s="24"/>
      <c r="AN93" s="24"/>
      <c r="AO93" s="35"/>
      <c r="AP93" s="163"/>
      <c r="AQ93" s="3"/>
    </row>
    <row r="94" spans="1:43" ht="14.45" customHeight="1" x14ac:dyDescent="0.2">
      <c r="A94" s="2"/>
      <c r="B94" s="108"/>
      <c r="C94" s="42">
        <v>34</v>
      </c>
      <c r="D94" s="68"/>
      <c r="E94" s="69"/>
      <c r="F94" s="70"/>
      <c r="G94" s="127"/>
      <c r="H94" s="18"/>
      <c r="I94" s="94"/>
      <c r="J94" s="94"/>
      <c r="K94" s="68" t="s">
        <v>2624</v>
      </c>
      <c r="L94" s="1064"/>
      <c r="M94" s="70"/>
      <c r="N94" s="70"/>
      <c r="O94" s="70"/>
      <c r="P94" s="1073" t="str">
        <f>IF('Heka Generation'!$AD$36&gt;0,'Heka Generation'!$AD22,'Heka Generation'!$AE22)</f>
        <v/>
      </c>
      <c r="Q94" s="85"/>
      <c r="R94" s="85"/>
      <c r="S94" s="34"/>
      <c r="T94" s="27"/>
      <c r="U94" s="27"/>
      <c r="V94" s="35"/>
      <c r="W94" s="41"/>
      <c r="X94" s="87"/>
      <c r="Y94" s="3"/>
      <c r="Z94" s="2"/>
      <c r="AA94" s="162"/>
      <c r="AB94" s="75"/>
      <c r="AC94" s="18"/>
      <c r="AD94" s="15"/>
      <c r="AE94" s="15"/>
      <c r="AF94" s="18"/>
      <c r="AG94" s="24"/>
      <c r="AH94" s="10"/>
      <c r="AI94" s="30"/>
      <c r="AJ94" s="35"/>
      <c r="AK94" s="24"/>
      <c r="AL94" s="24"/>
      <c r="AM94" s="24"/>
      <c r="AN94" s="24"/>
      <c r="AO94" s="35"/>
      <c r="AP94" s="163"/>
      <c r="AQ94" s="3"/>
    </row>
    <row r="95" spans="1:43" ht="14.45" customHeight="1" x14ac:dyDescent="0.2">
      <c r="A95" s="2"/>
      <c r="B95" s="108"/>
      <c r="C95" s="42">
        <v>35</v>
      </c>
      <c r="D95" s="68"/>
      <c r="E95" s="69"/>
      <c r="F95" s="69"/>
      <c r="G95" s="127"/>
      <c r="H95" s="18"/>
      <c r="I95" s="94"/>
      <c r="J95" s="94"/>
      <c r="K95" s="68" t="s">
        <v>2625</v>
      </c>
      <c r="L95" s="1064"/>
      <c r="M95" s="70"/>
      <c r="N95" s="70"/>
      <c r="O95" s="70"/>
      <c r="P95" s="1073" t="str">
        <f>IF('Heka Generation'!$AD$36&gt;0,'Heka Generation'!$AD23,'Heka Generation'!$AE23)</f>
        <v/>
      </c>
      <c r="Q95" s="85"/>
      <c r="R95" s="85"/>
      <c r="S95" s="34"/>
      <c r="T95" s="27"/>
      <c r="U95" s="27"/>
      <c r="V95" s="35"/>
      <c r="W95" s="41"/>
      <c r="X95" s="87"/>
      <c r="Y95" s="3"/>
      <c r="Z95" s="2"/>
      <c r="AA95" s="162"/>
      <c r="AB95" s="75"/>
      <c r="AC95" s="18"/>
      <c r="AD95" s="15"/>
      <c r="AE95" s="15"/>
      <c r="AF95" s="18"/>
      <c r="AG95" s="10"/>
      <c r="AH95" s="10"/>
      <c r="AI95" s="15"/>
      <c r="AJ95" s="18"/>
      <c r="AK95" s="10"/>
      <c r="AL95" s="10"/>
      <c r="AM95" s="10"/>
      <c r="AN95" s="10"/>
      <c r="AO95" s="18"/>
      <c r="AP95" s="163"/>
      <c r="AQ95" s="3"/>
    </row>
    <row r="96" spans="1:43" ht="14.45" customHeight="1" x14ac:dyDescent="0.2">
      <c r="A96" s="2"/>
      <c r="B96" s="108"/>
      <c r="C96" s="42">
        <v>36</v>
      </c>
      <c r="D96" s="68"/>
      <c r="E96" s="69"/>
      <c r="F96" s="69"/>
      <c r="G96" s="154"/>
      <c r="H96" s="18"/>
      <c r="I96" s="94"/>
      <c r="J96" s="94"/>
      <c r="K96" s="68" t="s">
        <v>2627</v>
      </c>
      <c r="L96" s="1064"/>
      <c r="M96" s="70"/>
      <c r="N96" s="70"/>
      <c r="O96" s="70"/>
      <c r="P96" s="1073" t="str">
        <f>IF('Heka Generation'!$AD$36&gt;0,'Heka Generation'!$AD24,'Heka Generation'!$AE24)</f>
        <v/>
      </c>
      <c r="Q96" s="85"/>
      <c r="R96" s="85"/>
      <c r="S96" s="34"/>
      <c r="T96" s="27"/>
      <c r="U96" s="27"/>
      <c r="V96" s="35"/>
      <c r="W96" s="41"/>
      <c r="X96" s="87"/>
      <c r="Y96" s="3"/>
      <c r="Z96" s="2"/>
      <c r="AA96" s="162"/>
      <c r="AB96" s="74"/>
      <c r="AC96" s="35"/>
      <c r="AD96" s="74"/>
      <c r="AE96" s="74"/>
      <c r="AF96" s="35"/>
      <c r="AG96" s="24"/>
      <c r="AH96" s="24"/>
      <c r="AI96" s="30"/>
      <c r="AJ96" s="35"/>
      <c r="AK96" s="24"/>
      <c r="AL96" s="24"/>
      <c r="AM96" s="24"/>
      <c r="AN96" s="24"/>
      <c r="AO96" s="35"/>
      <c r="AP96" s="163"/>
      <c r="AQ96" s="3"/>
    </row>
    <row r="97" spans="1:43" ht="14.45" customHeight="1" x14ac:dyDescent="0.2">
      <c r="A97" s="2"/>
      <c r="B97" s="108"/>
      <c r="C97" s="42">
        <v>37</v>
      </c>
      <c r="D97" s="68"/>
      <c r="E97" s="69"/>
      <c r="F97" s="70"/>
      <c r="G97" s="127"/>
      <c r="H97" s="20"/>
      <c r="I97" s="94"/>
      <c r="J97" s="94"/>
      <c r="K97" s="68" t="s">
        <v>2628</v>
      </c>
      <c r="L97" s="1064"/>
      <c r="M97" s="70"/>
      <c r="N97" s="70"/>
      <c r="O97" s="70"/>
      <c r="P97" s="1073" t="str">
        <f>IF('Heka Generation'!$AD$36&gt;0,'Heka Generation'!$AD25,'Heka Generation'!$AE25)</f>
        <v/>
      </c>
      <c r="Q97" s="85"/>
      <c r="R97" s="85"/>
      <c r="S97" s="34"/>
      <c r="T97" s="27"/>
      <c r="U97" s="27"/>
      <c r="V97" s="35"/>
      <c r="W97" s="41"/>
      <c r="X97" s="87"/>
      <c r="Y97" s="3"/>
      <c r="Z97" s="2"/>
      <c r="AA97" s="162"/>
      <c r="AB97" s="75"/>
      <c r="AC97" s="18"/>
      <c r="AD97" s="15"/>
      <c r="AE97" s="15"/>
      <c r="AF97" s="18"/>
      <c r="AG97" s="24"/>
      <c r="AH97" s="10"/>
      <c r="AI97" s="30"/>
      <c r="AJ97" s="35"/>
      <c r="AK97" s="24"/>
      <c r="AL97" s="24"/>
      <c r="AM97" s="24"/>
      <c r="AN97" s="24"/>
      <c r="AO97" s="35"/>
      <c r="AP97" s="163"/>
      <c r="AQ97" s="3"/>
    </row>
    <row r="98" spans="1:43" ht="14.45" customHeight="1" x14ac:dyDescent="0.2">
      <c r="A98" s="2"/>
      <c r="B98" s="108"/>
      <c r="C98" s="42">
        <v>38</v>
      </c>
      <c r="D98" s="68"/>
      <c r="E98" s="69"/>
      <c r="F98" s="70"/>
      <c r="G98" s="127"/>
      <c r="H98" s="20"/>
      <c r="I98" s="94"/>
      <c r="J98" s="94"/>
      <c r="K98" s="68" t="s">
        <v>2630</v>
      </c>
      <c r="L98" s="1064"/>
      <c r="M98" s="70"/>
      <c r="N98" s="70"/>
      <c r="O98" s="70"/>
      <c r="P98" s="1073" t="str">
        <f>IF('Heka Generation'!$AD$36&gt;0,'Heka Generation'!$AD26,'Heka Generation'!$AE26)</f>
        <v/>
      </c>
      <c r="Q98" s="85"/>
      <c r="R98" s="85"/>
      <c r="S98" s="34"/>
      <c r="T98" s="27"/>
      <c r="U98" s="27"/>
      <c r="V98" s="35"/>
      <c r="W98" s="41"/>
      <c r="X98" s="87"/>
      <c r="Y98" s="3"/>
      <c r="Z98" s="2"/>
      <c r="AA98" s="162"/>
      <c r="AB98" s="75"/>
      <c r="AC98" s="18"/>
      <c r="AD98" s="15"/>
      <c r="AE98" s="15"/>
      <c r="AF98" s="18"/>
      <c r="AG98" s="10"/>
      <c r="AH98" s="10"/>
      <c r="AI98" s="15"/>
      <c r="AJ98" s="18"/>
      <c r="AK98" s="10"/>
      <c r="AL98" s="10"/>
      <c r="AM98" s="10"/>
      <c r="AN98" s="10"/>
      <c r="AO98" s="18"/>
      <c r="AP98" s="163"/>
      <c r="AQ98" s="3"/>
    </row>
    <row r="99" spans="1:43" ht="14.45" customHeight="1" x14ac:dyDescent="0.2">
      <c r="A99" s="2"/>
      <c r="B99" s="108"/>
      <c r="C99" s="42">
        <v>39</v>
      </c>
      <c r="D99" s="68"/>
      <c r="E99" s="69"/>
      <c r="F99" s="70"/>
      <c r="G99" s="127"/>
      <c r="H99" s="20"/>
      <c r="I99" s="94"/>
      <c r="J99" s="94"/>
      <c r="K99" s="68" t="s">
        <v>2632</v>
      </c>
      <c r="L99" s="1064"/>
      <c r="M99" s="70"/>
      <c r="N99" s="70"/>
      <c r="O99" s="70"/>
      <c r="P99" s="1074" t="str">
        <f>IF('Heka Generation'!$AD$36&gt;0,'Heka Generation'!$AD27,'Heka Generation'!$AE27)</f>
        <v/>
      </c>
      <c r="Q99" s="85"/>
      <c r="R99" s="85"/>
      <c r="S99" s="34"/>
      <c r="T99" s="27"/>
      <c r="U99" s="27"/>
      <c r="V99" s="35"/>
      <c r="W99" s="41"/>
      <c r="X99" s="87"/>
      <c r="Y99" s="3"/>
      <c r="Z99" s="2"/>
      <c r="AA99" s="162"/>
      <c r="AB99" s="75"/>
      <c r="AC99" s="18"/>
      <c r="AD99" s="15"/>
      <c r="AE99" s="15"/>
      <c r="AF99" s="18"/>
      <c r="AG99" s="10"/>
      <c r="AH99" s="10"/>
      <c r="AI99" s="15"/>
      <c r="AJ99" s="18"/>
      <c r="AK99" s="10"/>
      <c r="AL99" s="10"/>
      <c r="AM99" s="10"/>
      <c r="AN99" s="10"/>
      <c r="AO99" s="18"/>
      <c r="AP99" s="163"/>
      <c r="AQ99" s="3"/>
    </row>
    <row r="100" spans="1:43" ht="14.45" customHeight="1" x14ac:dyDescent="0.2">
      <c r="A100" s="2"/>
      <c r="B100" s="108"/>
      <c r="C100" s="42">
        <v>40</v>
      </c>
      <c r="D100" s="68"/>
      <c r="E100" s="69"/>
      <c r="F100" s="70"/>
      <c r="G100" s="127"/>
      <c r="H100" s="20"/>
      <c r="I100" s="94"/>
      <c r="J100" s="94"/>
      <c r="K100" s="68" t="s">
        <v>2633</v>
      </c>
      <c r="L100" s="1064"/>
      <c r="M100" s="70"/>
      <c r="N100" s="70"/>
      <c r="O100" s="70"/>
      <c r="P100" s="1069" t="str">
        <f>IF('Heka Generation'!$AD$36&gt;0,'Heka Generation'!$AD28,'Heka Generation'!$AE28)</f>
        <v/>
      </c>
      <c r="Q100" s="85"/>
      <c r="R100" s="85"/>
      <c r="S100" s="34"/>
      <c r="T100" s="27"/>
      <c r="U100" s="27"/>
      <c r="V100" s="35"/>
      <c r="W100" s="41"/>
      <c r="X100" s="87"/>
      <c r="Y100" s="3"/>
      <c r="Z100" s="2"/>
      <c r="AA100" s="162"/>
      <c r="AB100" s="75"/>
      <c r="AC100" s="18"/>
      <c r="AD100" s="15"/>
      <c r="AE100" s="15"/>
      <c r="AF100" s="18"/>
      <c r="AG100" s="10"/>
      <c r="AH100" s="10"/>
      <c r="AI100" s="15"/>
      <c r="AJ100" s="18"/>
      <c r="AK100" s="10"/>
      <c r="AL100" s="10"/>
      <c r="AM100" s="10"/>
      <c r="AN100" s="10"/>
      <c r="AO100" s="18"/>
      <c r="AP100" s="163"/>
      <c r="AQ100" s="3"/>
    </row>
    <row r="101" spans="1:43" ht="14.45" customHeight="1" x14ac:dyDescent="0.2">
      <c r="A101" s="2"/>
      <c r="B101" s="108"/>
      <c r="C101" s="42">
        <v>41</v>
      </c>
      <c r="D101" s="68"/>
      <c r="E101" s="69"/>
      <c r="F101" s="70"/>
      <c r="G101" s="154"/>
      <c r="H101" s="20"/>
      <c r="I101" s="94"/>
      <c r="J101" s="94"/>
      <c r="K101" s="68" t="s">
        <v>2634</v>
      </c>
      <c r="L101" s="1064"/>
      <c r="M101" s="70"/>
      <c r="N101" s="70"/>
      <c r="O101" s="70"/>
      <c r="P101" s="1073" t="str">
        <f>IF('Heka Generation'!$AD$36&gt;0,'Heka Generation'!$AD29,'Heka Generation'!$AE29)</f>
        <v/>
      </c>
      <c r="Q101" s="85"/>
      <c r="R101" s="85"/>
      <c r="S101" s="34"/>
      <c r="T101" s="27"/>
      <c r="U101" s="27"/>
      <c r="V101" s="35"/>
      <c r="W101" s="41"/>
      <c r="X101" s="87"/>
      <c r="Y101" s="3"/>
      <c r="Z101" s="2"/>
      <c r="AA101" s="162"/>
      <c r="AB101" s="74"/>
      <c r="AC101" s="35"/>
      <c r="AD101" s="74"/>
      <c r="AE101" s="74"/>
      <c r="AF101" s="35"/>
      <c r="AG101" s="24"/>
      <c r="AH101" s="24"/>
      <c r="AI101" s="30"/>
      <c r="AJ101" s="35"/>
      <c r="AK101" s="24"/>
      <c r="AL101" s="24"/>
      <c r="AM101" s="24"/>
      <c r="AN101" s="24"/>
      <c r="AO101" s="35"/>
      <c r="AP101" s="163"/>
      <c r="AQ101" s="3"/>
    </row>
    <row r="102" spans="1:43" ht="14.45" customHeight="1" x14ac:dyDescent="0.2">
      <c r="A102" s="2"/>
      <c r="B102" s="108"/>
      <c r="C102" s="42">
        <v>42</v>
      </c>
      <c r="D102" s="68"/>
      <c r="E102" s="69"/>
      <c r="F102" s="69"/>
      <c r="G102" s="127"/>
      <c r="H102" s="20"/>
      <c r="I102" s="94"/>
      <c r="J102" s="94"/>
      <c r="K102" s="68" t="s">
        <v>2635</v>
      </c>
      <c r="L102" s="1064"/>
      <c r="M102" s="70"/>
      <c r="N102" s="70"/>
      <c r="O102" s="70"/>
      <c r="P102" s="1074" t="str">
        <f>IF('Heka Generation'!$AD$36&gt;0,'Heka Generation'!$AD30,'Heka Generation'!$AE30)</f>
        <v/>
      </c>
      <c r="Q102" s="85"/>
      <c r="R102" s="85"/>
      <c r="S102" s="34"/>
      <c r="T102" s="27"/>
      <c r="U102" s="27"/>
      <c r="V102" s="35"/>
      <c r="W102" s="41"/>
      <c r="X102" s="87"/>
      <c r="Y102" s="3"/>
      <c r="Z102" s="2"/>
      <c r="AA102" s="162"/>
      <c r="AB102" s="75"/>
      <c r="AC102" s="18"/>
      <c r="AD102" s="15"/>
      <c r="AE102" s="15"/>
      <c r="AF102" s="18"/>
      <c r="AG102" s="24"/>
      <c r="AH102" s="10"/>
      <c r="AI102" s="30"/>
      <c r="AJ102" s="35"/>
      <c r="AK102" s="24"/>
      <c r="AL102" s="24"/>
      <c r="AM102" s="24"/>
      <c r="AN102" s="24"/>
      <c r="AO102" s="35"/>
      <c r="AP102" s="163"/>
      <c r="AQ102" s="3"/>
    </row>
    <row r="103" spans="1:43" ht="14.45" customHeight="1" x14ac:dyDescent="0.2">
      <c r="A103" s="2"/>
      <c r="B103" s="108"/>
      <c r="C103" s="42">
        <v>43</v>
      </c>
      <c r="D103" s="68"/>
      <c r="E103" s="69"/>
      <c r="F103" s="69"/>
      <c r="G103" s="154"/>
      <c r="H103" s="20"/>
      <c r="I103" s="94"/>
      <c r="J103" s="94"/>
      <c r="K103" s="68" t="s">
        <v>2637</v>
      </c>
      <c r="L103" s="1064"/>
      <c r="M103" s="70"/>
      <c r="N103" s="70"/>
      <c r="O103" s="70"/>
      <c r="P103" s="1069" t="str">
        <f>IF('Heka Generation'!$AD$36&gt;0,'Heka Generation'!$AD31,'Heka Generation'!$AE31)</f>
        <v/>
      </c>
      <c r="Q103" s="85"/>
      <c r="R103" s="85"/>
      <c r="S103" s="34"/>
      <c r="T103" s="27"/>
      <c r="U103" s="27"/>
      <c r="V103" s="35"/>
      <c r="W103" s="1075"/>
      <c r="X103" s="87"/>
      <c r="Y103" s="3"/>
      <c r="Z103" s="2"/>
      <c r="AA103" s="162"/>
      <c r="AB103" s="74"/>
      <c r="AC103" s="35"/>
      <c r="AD103" s="74"/>
      <c r="AE103" s="74"/>
      <c r="AF103" s="35"/>
      <c r="AG103" s="24"/>
      <c r="AH103" s="24"/>
      <c r="AI103" s="30"/>
      <c r="AJ103" s="35"/>
      <c r="AK103" s="24"/>
      <c r="AL103" s="24"/>
      <c r="AM103" s="24"/>
      <c r="AN103" s="24"/>
      <c r="AO103" s="35"/>
      <c r="AP103" s="163"/>
      <c r="AQ103" s="3"/>
    </row>
    <row r="104" spans="1:43" ht="14.45" customHeight="1" x14ac:dyDescent="0.2">
      <c r="A104" s="2"/>
      <c r="B104" s="108"/>
      <c r="C104" s="42">
        <v>44</v>
      </c>
      <c r="D104" s="68"/>
      <c r="E104" s="69"/>
      <c r="F104" s="70"/>
      <c r="G104" s="127"/>
      <c r="H104" s="20"/>
      <c r="I104" s="94"/>
      <c r="J104" s="94"/>
      <c r="K104" s="68" t="s">
        <v>111</v>
      </c>
      <c r="L104" s="1064"/>
      <c r="M104" s="70"/>
      <c r="N104" s="70"/>
      <c r="O104" s="70"/>
      <c r="P104" s="1069" t="str">
        <f>IF('Heka Generation'!$AD$36&gt;0,'Heka Generation'!$AD32,'Heka Generation'!$AE32)</f>
        <v/>
      </c>
      <c r="Q104" s="85"/>
      <c r="R104" s="85"/>
      <c r="S104" s="85"/>
      <c r="T104" s="85"/>
      <c r="U104" s="85"/>
      <c r="V104" s="1076" t="s">
        <v>3030</v>
      </c>
      <c r="W104" s="1069">
        <f>SUM(W93:W103)</f>
        <v>0</v>
      </c>
      <c r="X104" s="87"/>
      <c r="Y104" s="3"/>
      <c r="Z104" s="2"/>
      <c r="AA104" s="162"/>
      <c r="AB104" s="75"/>
      <c r="AC104" s="18"/>
      <c r="AD104" s="15"/>
      <c r="AE104" s="15"/>
      <c r="AF104" s="18"/>
      <c r="AG104" s="24"/>
      <c r="AH104" s="10"/>
      <c r="AI104" s="30"/>
      <c r="AJ104" s="35"/>
      <c r="AK104" s="24"/>
      <c r="AL104" s="24"/>
      <c r="AM104" s="24"/>
      <c r="AN104" s="24"/>
      <c r="AO104" s="35"/>
      <c r="AP104" s="163"/>
      <c r="AQ104" s="3"/>
    </row>
    <row r="105" spans="1:43" ht="14.45" customHeight="1" x14ac:dyDescent="0.2">
      <c r="A105" s="2"/>
      <c r="B105" s="108"/>
      <c r="C105" s="42">
        <v>45</v>
      </c>
      <c r="D105" s="68"/>
      <c r="E105" s="69"/>
      <c r="F105" s="70"/>
      <c r="G105" s="127"/>
      <c r="H105" s="20"/>
      <c r="I105" s="94"/>
      <c r="J105" s="94"/>
      <c r="K105" s="68" t="s">
        <v>2639</v>
      </c>
      <c r="L105" s="1064"/>
      <c r="M105" s="70"/>
      <c r="N105" s="70"/>
      <c r="O105" s="70"/>
      <c r="P105" s="1074" t="str">
        <f>IF('Heka Generation'!$AD$36&gt;0,'Heka Generation'!$AD33,'Heka Generation'!$AE33)</f>
        <v/>
      </c>
      <c r="Q105" s="85"/>
      <c r="R105" s="85"/>
      <c r="S105" s="85"/>
      <c r="T105" s="85"/>
      <c r="U105" s="85"/>
      <c r="V105" s="1070" t="s">
        <v>3031</v>
      </c>
      <c r="W105" s="1069">
        <f>SUM(P76:P107)</f>
        <v>0</v>
      </c>
      <c r="X105" s="87"/>
      <c r="Y105" s="3"/>
      <c r="Z105" s="2"/>
      <c r="AA105" s="162"/>
      <c r="AB105" s="75"/>
      <c r="AC105" s="18"/>
      <c r="AD105" s="15"/>
      <c r="AE105" s="15"/>
      <c r="AF105" s="18"/>
      <c r="AG105" s="10"/>
      <c r="AH105" s="10"/>
      <c r="AI105" s="15"/>
      <c r="AJ105" s="18"/>
      <c r="AK105" s="10"/>
      <c r="AL105" s="10"/>
      <c r="AM105" s="10"/>
      <c r="AN105" s="10"/>
      <c r="AO105" s="18"/>
      <c r="AP105" s="163"/>
      <c r="AQ105" s="3"/>
    </row>
    <row r="106" spans="1:43" ht="14.45" customHeight="1" x14ac:dyDescent="0.2">
      <c r="A106" s="2"/>
      <c r="B106" s="108"/>
      <c r="C106" s="42">
        <v>46</v>
      </c>
      <c r="D106" s="68"/>
      <c r="E106" s="69"/>
      <c r="F106" s="70"/>
      <c r="G106" s="127"/>
      <c r="H106" s="20"/>
      <c r="I106" s="94"/>
      <c r="J106" s="94"/>
      <c r="K106" s="68" t="s">
        <v>2642</v>
      </c>
      <c r="L106" s="1064"/>
      <c r="M106" s="70"/>
      <c r="N106" s="70"/>
      <c r="O106" s="70"/>
      <c r="P106" s="1069" t="str">
        <f>IF('Heka Generation'!$AD$36&gt;0,'Heka Generation'!$AD34,'Heka Generation'!$AE34)</f>
        <v/>
      </c>
      <c r="Q106" s="85"/>
      <c r="R106" s="85"/>
      <c r="S106" s="85"/>
      <c r="T106" s="85"/>
      <c r="U106" s="85"/>
      <c r="V106" s="85"/>
      <c r="W106" s="1072"/>
      <c r="X106" s="87"/>
      <c r="Y106" s="3"/>
      <c r="Z106" s="2"/>
      <c r="AA106" s="162"/>
      <c r="AB106" s="75"/>
      <c r="AC106" s="18"/>
      <c r="AD106" s="15"/>
      <c r="AE106" s="15"/>
      <c r="AF106" s="18"/>
      <c r="AG106" s="10"/>
      <c r="AH106" s="10"/>
      <c r="AI106" s="15"/>
      <c r="AJ106" s="18"/>
      <c r="AK106" s="10"/>
      <c r="AL106" s="10"/>
      <c r="AM106" s="10"/>
      <c r="AN106" s="10"/>
      <c r="AO106" s="18"/>
      <c r="AP106" s="163"/>
      <c r="AQ106" s="3"/>
    </row>
    <row r="107" spans="1:43" ht="14.45" customHeight="1" x14ac:dyDescent="0.25">
      <c r="A107" s="2"/>
      <c r="B107" s="108"/>
      <c r="C107" s="42">
        <v>47</v>
      </c>
      <c r="D107" s="68"/>
      <c r="E107" s="69"/>
      <c r="F107" s="69"/>
      <c r="G107" s="127"/>
      <c r="H107" s="20"/>
      <c r="I107" s="94"/>
      <c r="J107" s="94"/>
      <c r="K107" s="68" t="s">
        <v>2645</v>
      </c>
      <c r="L107" s="1064"/>
      <c r="M107" s="70"/>
      <c r="N107" s="70"/>
      <c r="O107" s="1067"/>
      <c r="P107" s="1073" t="str">
        <f>IF('Heka Generation'!$AD$36&gt;0,'Heka Generation'!$AD35,'Heka Generation'!$AE35)</f>
        <v/>
      </c>
      <c r="Q107" s="85"/>
      <c r="R107" s="85"/>
      <c r="S107" s="85"/>
      <c r="T107" s="85"/>
      <c r="U107" s="85"/>
      <c r="V107" s="1071" t="s">
        <v>133</v>
      </c>
      <c r="W107" s="1069">
        <f>W104+W105</f>
        <v>0</v>
      </c>
      <c r="X107" s="87"/>
      <c r="Y107" s="3"/>
      <c r="Z107" s="2"/>
      <c r="AA107" s="162"/>
      <c r="AB107" s="74"/>
      <c r="AC107" s="35"/>
      <c r="AD107" s="74"/>
      <c r="AE107" s="74"/>
      <c r="AF107" s="35"/>
      <c r="AG107" s="24"/>
      <c r="AH107" s="24"/>
      <c r="AI107" s="30"/>
      <c r="AJ107" s="35"/>
      <c r="AK107" s="24"/>
      <c r="AL107" s="24"/>
      <c r="AM107" s="24"/>
      <c r="AN107" s="24"/>
      <c r="AO107" s="35"/>
      <c r="AP107" s="163"/>
      <c r="AQ107" s="3"/>
    </row>
    <row r="108" spans="1:43" ht="3.6" customHeight="1" x14ac:dyDescent="0.2">
      <c r="A108" s="2"/>
      <c r="B108" s="110"/>
      <c r="C108" s="51"/>
      <c r="D108" s="51"/>
      <c r="E108" s="51"/>
      <c r="F108" s="51"/>
      <c r="G108" s="51"/>
      <c r="H108" s="51"/>
      <c r="I108" s="51"/>
      <c r="J108" s="51"/>
      <c r="K108" s="51"/>
      <c r="L108" s="51"/>
      <c r="M108" s="51"/>
      <c r="N108" s="51"/>
      <c r="O108" s="51"/>
      <c r="P108" s="51"/>
      <c r="Q108" s="51"/>
      <c r="R108" s="51"/>
      <c r="S108" s="51"/>
      <c r="T108" s="51"/>
      <c r="U108" s="51"/>
      <c r="V108" s="51"/>
      <c r="W108" s="51"/>
      <c r="X108" s="52"/>
      <c r="Y108" s="3"/>
      <c r="Z108" s="2"/>
      <c r="AA108" s="164"/>
      <c r="AB108" s="166"/>
      <c r="AC108" s="166"/>
      <c r="AD108" s="166"/>
      <c r="AE108" s="166"/>
      <c r="AF108" s="166"/>
      <c r="AG108" s="166"/>
      <c r="AH108" s="166"/>
      <c r="AI108" s="166"/>
      <c r="AJ108" s="166"/>
      <c r="AK108" s="166"/>
      <c r="AL108" s="166"/>
      <c r="AM108" s="166"/>
      <c r="AN108" s="166"/>
      <c r="AO108" s="166"/>
      <c r="AP108" s="165"/>
      <c r="AQ108" s="3"/>
    </row>
    <row r="109" spans="1:43" ht="3.6" customHeight="1" x14ac:dyDescent="0.2">
      <c r="A109" s="15"/>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8"/>
      <c r="Z109" s="15"/>
      <c r="AA109" s="10"/>
      <c r="AB109" s="10"/>
      <c r="AC109" s="10"/>
      <c r="AD109" s="10"/>
      <c r="AE109" s="10"/>
      <c r="AF109" s="10"/>
      <c r="AG109" s="10"/>
      <c r="AH109" s="10"/>
      <c r="AI109" s="10"/>
      <c r="AJ109" s="10"/>
      <c r="AK109" s="10"/>
      <c r="AL109" s="10"/>
      <c r="AM109" s="10"/>
      <c r="AN109" s="10"/>
      <c r="AO109" s="10"/>
      <c r="AP109" s="10"/>
      <c r="AQ109" s="18"/>
    </row>
    <row r="111" spans="1:43" x14ac:dyDescent="0.2">
      <c r="B111" s="743" t="s">
        <v>2216</v>
      </c>
    </row>
    <row r="112" spans="1:43" x14ac:dyDescent="0.2">
      <c r="C112" s="743" t="s">
        <v>3007</v>
      </c>
    </row>
  </sheetData>
  <mergeCells count="17">
    <mergeCell ref="E6:H6"/>
    <mergeCell ref="E7:H7"/>
    <mergeCell ref="E8:H8"/>
    <mergeCell ref="E9:H9"/>
    <mergeCell ref="E3:H3"/>
    <mergeCell ref="E4:H4"/>
    <mergeCell ref="E5:H5"/>
    <mergeCell ref="M3:P3"/>
    <mergeCell ref="O5:P5"/>
    <mergeCell ref="S6:W11"/>
    <mergeCell ref="O6:P6"/>
    <mergeCell ref="O7:P7"/>
    <mergeCell ref="O8:P8"/>
    <mergeCell ref="S3:W3"/>
    <mergeCell ref="S4:W4"/>
    <mergeCell ref="S5:W5"/>
    <mergeCell ref="O9:P9"/>
  </mergeCells>
  <phoneticPr fontId="1" type="noConversion"/>
  <printOptions horizontalCentered="1" verticalCentered="1"/>
  <pageMargins left="0.25" right="0.25" top="0.25" bottom="0.25" header="0.5" footer="0.5"/>
  <pageSetup orientation="portrait" horizontalDpi="4294967292" verticalDpi="300" r:id="rId1"/>
  <headerFooter alignWithMargins="0"/>
  <rowBreaks count="1" manualBreakCount="1">
    <brk id="56" max="65535" man="1"/>
  </rowBreaks>
  <colBreaks count="2" manualBreakCount="2">
    <brk id="25" max="1048575" man="1"/>
    <brk id="4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7456-B7DA-4A71-8172-B4D703BC0E38}">
  <sheetPr>
    <tabColor rgb="FFFFB3B3"/>
  </sheetPr>
  <dimension ref="A1:AK224"/>
  <sheetViews>
    <sheetView zoomScale="70" zoomScaleNormal="70" workbookViewId="0">
      <selection activeCell="D3" sqref="D3:F3"/>
    </sheetView>
  </sheetViews>
  <sheetFormatPr defaultRowHeight="12.75" x14ac:dyDescent="0.2"/>
  <cols>
    <col min="1" max="2" width="0.875" customWidth="1"/>
    <col min="5" max="5" width="4.625" customWidth="1"/>
    <col min="7" max="7" width="3.625" customWidth="1"/>
    <col min="9" max="9" width="3.625" customWidth="1"/>
    <col min="11" max="11" width="3.625" customWidth="1"/>
    <col min="13" max="13" width="3.625" customWidth="1"/>
    <col min="15" max="15" width="3.625" customWidth="1"/>
    <col min="16" max="19" width="0.875" customWidth="1"/>
    <col min="20" max="20" width="3.625" customWidth="1"/>
    <col min="21" max="21" width="4.625" customWidth="1"/>
    <col min="22" max="22" width="10.625" customWidth="1"/>
    <col min="23" max="23" width="15.625" customWidth="1"/>
    <col min="24" max="24" width="20.625" customWidth="1"/>
    <col min="25" max="25" width="30.625" customWidth="1"/>
    <col min="26" max="29" width="0.875" customWidth="1"/>
    <col min="30" max="30" width="3.625" customWidth="1"/>
    <col min="31" max="31" width="4.625" customWidth="1"/>
    <col min="32" max="32" width="10.625" customWidth="1"/>
    <col min="33" max="33" width="15.625" customWidth="1"/>
    <col min="34" max="34" width="20.625" customWidth="1"/>
    <col min="35" max="35" width="30.625" customWidth="1"/>
    <col min="36" max="37" width="0.875" customWidth="1"/>
  </cols>
  <sheetData>
    <row r="1" spans="1:37" ht="5.0999999999999996" customHeight="1" x14ac:dyDescent="0.2">
      <c r="A1" s="8"/>
      <c r="B1" s="6"/>
      <c r="C1" s="6"/>
      <c r="D1" s="6"/>
      <c r="E1" s="6"/>
      <c r="F1" s="6"/>
      <c r="G1" s="6"/>
      <c r="H1" s="6"/>
      <c r="I1" s="6"/>
      <c r="J1" s="6"/>
      <c r="K1" s="6"/>
      <c r="L1" s="6"/>
      <c r="M1" s="6"/>
      <c r="N1" s="6"/>
      <c r="O1" s="6"/>
      <c r="P1" s="6"/>
      <c r="Q1" s="6"/>
      <c r="R1" s="8"/>
      <c r="S1" s="582"/>
      <c r="T1" s="582"/>
      <c r="U1" s="582"/>
      <c r="V1" s="582"/>
      <c r="W1" s="582"/>
      <c r="X1" s="582"/>
      <c r="Y1" s="582"/>
      <c r="Z1" s="582"/>
      <c r="AA1" s="575"/>
      <c r="AB1" s="8"/>
      <c r="AC1" s="582"/>
      <c r="AD1" s="582"/>
      <c r="AE1" s="582"/>
      <c r="AF1" s="582"/>
      <c r="AG1" s="582"/>
      <c r="AH1" s="582"/>
      <c r="AI1" s="582"/>
      <c r="AJ1" s="582"/>
      <c r="AK1" s="575"/>
    </row>
    <row r="2" spans="1:37" s="199" customFormat="1" ht="15.95" customHeight="1" x14ac:dyDescent="0.3">
      <c r="A2" s="192"/>
      <c r="B2" s="193"/>
      <c r="C2" s="194" t="s">
        <v>134</v>
      </c>
      <c r="D2" s="195"/>
      <c r="E2" s="195"/>
      <c r="F2" s="195"/>
      <c r="G2" s="195"/>
      <c r="H2" s="195"/>
      <c r="I2" s="196"/>
      <c r="J2" s="207" t="s">
        <v>139</v>
      </c>
      <c r="K2" s="206" t="s">
        <v>142</v>
      </c>
      <c r="L2" s="207" t="s">
        <v>140</v>
      </c>
      <c r="M2" s="206" t="s">
        <v>142</v>
      </c>
      <c r="N2" s="207" t="s">
        <v>141</v>
      </c>
      <c r="O2" s="206" t="s">
        <v>142</v>
      </c>
      <c r="P2" s="197"/>
      <c r="Q2" s="579"/>
      <c r="R2" s="192"/>
      <c r="S2" s="586"/>
      <c r="T2" s="587" t="s">
        <v>2396</v>
      </c>
      <c r="U2" s="588"/>
      <c r="V2" s="588"/>
      <c r="W2" s="589"/>
      <c r="X2" s="589"/>
      <c r="Y2" s="588"/>
      <c r="Z2" s="590"/>
      <c r="AA2" s="583"/>
      <c r="AB2" s="192"/>
      <c r="AC2" s="612"/>
      <c r="AD2" s="613" t="s">
        <v>2399</v>
      </c>
      <c r="AE2" s="614"/>
      <c r="AF2" s="614"/>
      <c r="AG2" s="615"/>
      <c r="AH2" s="615"/>
      <c r="AI2" s="614"/>
      <c r="AJ2" s="616"/>
      <c r="AK2" s="583"/>
    </row>
    <row r="3" spans="1:37" s="191" customFormat="1" ht="14.1" customHeight="1" thickBot="1" x14ac:dyDescent="0.35">
      <c r="A3" s="183"/>
      <c r="B3" s="184"/>
      <c r="C3" s="209" t="s">
        <v>147</v>
      </c>
      <c r="D3" s="210"/>
      <c r="E3" s="210"/>
      <c r="F3" s="210"/>
      <c r="G3" s="185"/>
      <c r="H3" s="186"/>
      <c r="I3" s="186"/>
      <c r="J3" s="187"/>
      <c r="K3" s="186"/>
      <c r="L3" s="188"/>
      <c r="M3" s="187"/>
      <c r="N3" s="188"/>
      <c r="O3" s="187"/>
      <c r="P3" s="189"/>
      <c r="Q3" s="580"/>
      <c r="R3" s="183"/>
      <c r="S3" s="591"/>
      <c r="T3" s="592"/>
      <c r="U3" s="592"/>
      <c r="V3" s="592"/>
      <c r="W3" s="593"/>
      <c r="X3" s="594"/>
      <c r="Y3" s="595"/>
      <c r="Z3" s="596"/>
      <c r="AA3" s="584"/>
      <c r="AB3" s="183"/>
      <c r="AC3" s="617"/>
      <c r="AD3" s="618"/>
      <c r="AE3" s="618"/>
      <c r="AF3" s="618"/>
      <c r="AG3" s="619"/>
      <c r="AH3" s="620"/>
      <c r="AI3" s="621"/>
      <c r="AJ3" s="622"/>
      <c r="AK3" s="584"/>
    </row>
    <row r="4" spans="1:37" s="205" customFormat="1" ht="15" customHeight="1" x14ac:dyDescent="0.2">
      <c r="A4" s="200"/>
      <c r="B4" s="201"/>
      <c r="C4" s="186" t="s">
        <v>135</v>
      </c>
      <c r="D4" s="186"/>
      <c r="E4" s="202" t="s">
        <v>123</v>
      </c>
      <c r="F4" s="186" t="s">
        <v>143</v>
      </c>
      <c r="G4" s="186"/>
      <c r="H4" s="186" t="s">
        <v>144</v>
      </c>
      <c r="I4" s="186"/>
      <c r="J4" s="186" t="s">
        <v>145</v>
      </c>
      <c r="K4" s="186"/>
      <c r="L4" s="186" t="s">
        <v>146</v>
      </c>
      <c r="M4" s="186"/>
      <c r="N4" s="186"/>
      <c r="O4" s="186"/>
      <c r="P4" s="203"/>
      <c r="Q4" s="581"/>
      <c r="R4" s="200"/>
      <c r="S4" s="597"/>
      <c r="T4" s="598"/>
      <c r="U4" s="598"/>
      <c r="V4" s="598"/>
      <c r="W4" s="598"/>
      <c r="X4" s="598"/>
      <c r="Y4" s="598"/>
      <c r="Z4" s="599"/>
      <c r="AA4" s="585"/>
      <c r="AB4" s="200"/>
      <c r="AC4" s="623"/>
      <c r="AD4" s="624"/>
      <c r="AE4" s="624"/>
      <c r="AF4" s="624"/>
      <c r="AG4" s="624"/>
      <c r="AH4" s="624"/>
      <c r="AI4" s="624"/>
      <c r="AJ4" s="625"/>
      <c r="AK4" s="585"/>
    </row>
    <row r="5" spans="1:37" ht="12.4" customHeight="1" x14ac:dyDescent="0.2">
      <c r="A5" s="2"/>
      <c r="B5" s="162"/>
      <c r="C5" s="33"/>
      <c r="D5" s="38"/>
      <c r="E5" s="33"/>
      <c r="F5" s="33"/>
      <c r="G5" s="38"/>
      <c r="H5" s="28"/>
      <c r="I5" s="28"/>
      <c r="J5" s="33"/>
      <c r="K5" s="38"/>
      <c r="L5" s="28"/>
      <c r="M5" s="28"/>
      <c r="N5" s="28"/>
      <c r="O5" s="38"/>
      <c r="P5" s="163"/>
      <c r="Q5" s="1"/>
      <c r="R5" s="2"/>
      <c r="S5" s="600"/>
      <c r="T5" s="601"/>
      <c r="U5" s="602" t="s">
        <v>123</v>
      </c>
      <c r="V5" s="594" t="s">
        <v>1750</v>
      </c>
      <c r="W5" s="594" t="s">
        <v>2397</v>
      </c>
      <c r="X5" s="594" t="s">
        <v>2398</v>
      </c>
      <c r="Y5" s="594" t="s">
        <v>2133</v>
      </c>
      <c r="Z5" s="603"/>
      <c r="AA5" s="576"/>
      <c r="AB5" s="2"/>
      <c r="AC5" s="626"/>
      <c r="AD5" s="627"/>
      <c r="AE5" s="628" t="s">
        <v>123</v>
      </c>
      <c r="AF5" s="620" t="s">
        <v>1750</v>
      </c>
      <c r="AG5" s="620" t="s">
        <v>2397</v>
      </c>
      <c r="AH5" s="620" t="s">
        <v>2398</v>
      </c>
      <c r="AI5" s="620" t="s">
        <v>2133</v>
      </c>
      <c r="AJ5" s="629"/>
      <c r="AK5" s="576"/>
    </row>
    <row r="6" spans="1:37" ht="12.4" customHeight="1" x14ac:dyDescent="0.2">
      <c r="A6" s="2"/>
      <c r="B6" s="162"/>
      <c r="C6" s="208"/>
      <c r="D6" s="21"/>
      <c r="E6" s="208"/>
      <c r="F6" s="208"/>
      <c r="G6" s="21"/>
      <c r="H6" s="28"/>
      <c r="I6" s="14"/>
      <c r="J6" s="33"/>
      <c r="K6" s="38"/>
      <c r="L6" s="28"/>
      <c r="M6" s="28"/>
      <c r="N6" s="28"/>
      <c r="O6" s="38"/>
      <c r="P6" s="163"/>
      <c r="Q6" s="1"/>
      <c r="R6" s="2"/>
      <c r="S6" s="597"/>
      <c r="T6" s="607">
        <v>1</v>
      </c>
      <c r="U6" s="608"/>
      <c r="V6" s="608"/>
      <c r="W6" s="608"/>
      <c r="X6" s="608"/>
      <c r="Y6" s="608"/>
      <c r="Z6" s="599"/>
      <c r="AA6" s="576"/>
      <c r="AB6" s="2"/>
      <c r="AC6" s="623"/>
      <c r="AD6" s="630">
        <v>1</v>
      </c>
      <c r="AE6" s="608"/>
      <c r="AF6" s="608"/>
      <c r="AG6" s="608"/>
      <c r="AH6" s="608"/>
      <c r="AI6" s="608"/>
      <c r="AJ6" s="625"/>
      <c r="AK6" s="576"/>
    </row>
    <row r="7" spans="1:37" ht="12.4" customHeight="1" x14ac:dyDescent="0.2">
      <c r="A7" s="2"/>
      <c r="B7" s="162"/>
      <c r="C7" s="208"/>
      <c r="D7" s="21"/>
      <c r="E7" s="208"/>
      <c r="F7" s="208"/>
      <c r="G7" s="21"/>
      <c r="H7" s="28"/>
      <c r="I7" s="14"/>
      <c r="J7" s="33"/>
      <c r="K7" s="38"/>
      <c r="L7" s="28"/>
      <c r="M7" s="28"/>
      <c r="N7" s="28"/>
      <c r="O7" s="38"/>
      <c r="P7" s="163"/>
      <c r="Q7" s="1"/>
      <c r="R7" s="2"/>
      <c r="S7" s="597"/>
      <c r="T7" s="607">
        <v>2</v>
      </c>
      <c r="U7" s="608"/>
      <c r="V7" s="608"/>
      <c r="W7" s="608"/>
      <c r="X7" s="608"/>
      <c r="Y7" s="608"/>
      <c r="Z7" s="599"/>
      <c r="AA7" s="576"/>
      <c r="AB7" s="2"/>
      <c r="AC7" s="623"/>
      <c r="AD7" s="630">
        <v>2</v>
      </c>
      <c r="AE7" s="608"/>
      <c r="AF7" s="608"/>
      <c r="AG7" s="608"/>
      <c r="AH7" s="608"/>
      <c r="AI7" s="608"/>
      <c r="AJ7" s="625"/>
      <c r="AK7" s="576"/>
    </row>
    <row r="8" spans="1:37" ht="12.4" customHeight="1" x14ac:dyDescent="0.2">
      <c r="A8" s="2"/>
      <c r="B8" s="162"/>
      <c r="C8" s="208"/>
      <c r="D8" s="21"/>
      <c r="E8" s="208"/>
      <c r="F8" s="208"/>
      <c r="G8" s="21"/>
      <c r="H8" s="14"/>
      <c r="I8" s="14"/>
      <c r="J8" s="208"/>
      <c r="K8" s="21"/>
      <c r="L8" s="14"/>
      <c r="M8" s="14"/>
      <c r="N8" s="14"/>
      <c r="O8" s="21"/>
      <c r="P8" s="163"/>
      <c r="Q8" s="1"/>
      <c r="R8" s="2"/>
      <c r="S8" s="597"/>
      <c r="T8" s="607">
        <v>3</v>
      </c>
      <c r="U8" s="608"/>
      <c r="V8" s="608"/>
      <c r="W8" s="608"/>
      <c r="X8" s="608"/>
      <c r="Y8" s="608"/>
      <c r="Z8" s="599"/>
      <c r="AA8" s="576"/>
      <c r="AB8" s="2"/>
      <c r="AC8" s="623"/>
      <c r="AD8" s="630">
        <v>3</v>
      </c>
      <c r="AE8" s="608"/>
      <c r="AF8" s="608"/>
      <c r="AG8" s="608"/>
      <c r="AH8" s="608"/>
      <c r="AI8" s="608"/>
      <c r="AJ8" s="625"/>
      <c r="AK8" s="576"/>
    </row>
    <row r="9" spans="1:37" ht="12.4" customHeight="1" x14ac:dyDescent="0.2">
      <c r="A9" s="2"/>
      <c r="B9" s="162"/>
      <c r="C9" s="208"/>
      <c r="D9" s="21"/>
      <c r="E9" s="208"/>
      <c r="F9" s="208"/>
      <c r="G9" s="21"/>
      <c r="H9" s="14"/>
      <c r="I9" s="14"/>
      <c r="J9" s="208"/>
      <c r="K9" s="21"/>
      <c r="L9" s="14"/>
      <c r="M9" s="14"/>
      <c r="N9" s="14"/>
      <c r="O9" s="21"/>
      <c r="P9" s="163"/>
      <c r="Q9" s="1"/>
      <c r="R9" s="2"/>
      <c r="S9" s="597"/>
      <c r="T9" s="607">
        <v>4</v>
      </c>
      <c r="U9" s="608"/>
      <c r="V9" s="608"/>
      <c r="W9" s="608"/>
      <c r="X9" s="608"/>
      <c r="Y9" s="608"/>
      <c r="Z9" s="599"/>
      <c r="AA9" s="576"/>
      <c r="AB9" s="2"/>
      <c r="AC9" s="623"/>
      <c r="AD9" s="630">
        <v>4</v>
      </c>
      <c r="AE9" s="608"/>
      <c r="AF9" s="608"/>
      <c r="AG9" s="608"/>
      <c r="AH9" s="608"/>
      <c r="AI9" s="608"/>
      <c r="AJ9" s="625"/>
      <c r="AK9" s="576"/>
    </row>
    <row r="10" spans="1:37" ht="12.4" customHeight="1" x14ac:dyDescent="0.2">
      <c r="A10" s="2"/>
      <c r="B10" s="162"/>
      <c r="C10" s="33"/>
      <c r="D10" s="38"/>
      <c r="E10" s="33"/>
      <c r="F10" s="33"/>
      <c r="G10" s="38"/>
      <c r="H10" s="28"/>
      <c r="I10" s="28"/>
      <c r="J10" s="33"/>
      <c r="K10" s="38"/>
      <c r="L10" s="28"/>
      <c r="M10" s="28"/>
      <c r="N10" s="28"/>
      <c r="O10" s="38"/>
      <c r="P10" s="163"/>
      <c r="Q10" s="1"/>
      <c r="R10" s="2"/>
      <c r="S10" s="597"/>
      <c r="T10" s="607">
        <v>5</v>
      </c>
      <c r="U10" s="608"/>
      <c r="V10" s="608"/>
      <c r="W10" s="608"/>
      <c r="X10" s="608"/>
      <c r="Y10" s="608"/>
      <c r="Z10" s="599"/>
      <c r="AA10" s="576"/>
      <c r="AB10" s="2"/>
      <c r="AC10" s="623"/>
      <c r="AD10" s="630">
        <v>5</v>
      </c>
      <c r="AE10" s="608"/>
      <c r="AF10" s="608"/>
      <c r="AG10" s="608"/>
      <c r="AH10" s="608"/>
      <c r="AI10" s="608"/>
      <c r="AJ10" s="625"/>
      <c r="AK10" s="576"/>
    </row>
    <row r="11" spans="1:37" ht="12.4" customHeight="1" x14ac:dyDescent="0.2">
      <c r="A11" s="2"/>
      <c r="B11" s="162"/>
      <c r="C11" s="208"/>
      <c r="D11" s="21"/>
      <c r="E11" s="208"/>
      <c r="F11" s="208"/>
      <c r="G11" s="21"/>
      <c r="H11" s="28"/>
      <c r="I11" s="14"/>
      <c r="J11" s="33"/>
      <c r="K11" s="38"/>
      <c r="L11" s="28"/>
      <c r="M11" s="28"/>
      <c r="N11" s="28"/>
      <c r="O11" s="38"/>
      <c r="P11" s="163"/>
      <c r="Q11" s="1"/>
      <c r="R11" s="2"/>
      <c r="S11" s="597"/>
      <c r="T11" s="607">
        <v>6</v>
      </c>
      <c r="U11" s="608"/>
      <c r="V11" s="608"/>
      <c r="W11" s="608"/>
      <c r="X11" s="608"/>
      <c r="Y11" s="608"/>
      <c r="Z11" s="599"/>
      <c r="AA11" s="576"/>
      <c r="AB11" s="2"/>
      <c r="AC11" s="623"/>
      <c r="AD11" s="630">
        <v>6</v>
      </c>
      <c r="AE11" s="608"/>
      <c r="AF11" s="608"/>
      <c r="AG11" s="608"/>
      <c r="AH11" s="608"/>
      <c r="AI11" s="608"/>
      <c r="AJ11" s="625"/>
      <c r="AK11" s="576"/>
    </row>
    <row r="12" spans="1:37" ht="12.4" customHeight="1" x14ac:dyDescent="0.2">
      <c r="A12" s="2"/>
      <c r="B12" s="162"/>
      <c r="C12" s="208"/>
      <c r="D12" s="21"/>
      <c r="E12" s="208"/>
      <c r="F12" s="208"/>
      <c r="G12" s="21"/>
      <c r="H12" s="14"/>
      <c r="I12" s="14"/>
      <c r="J12" s="208"/>
      <c r="K12" s="21"/>
      <c r="L12" s="14"/>
      <c r="M12" s="14"/>
      <c r="N12" s="14"/>
      <c r="O12" s="21"/>
      <c r="P12" s="163"/>
      <c r="Q12" s="1"/>
      <c r="R12" s="2"/>
      <c r="S12" s="597"/>
      <c r="T12" s="607">
        <v>7</v>
      </c>
      <c r="U12" s="608"/>
      <c r="V12" s="608"/>
      <c r="W12" s="608"/>
      <c r="X12" s="608"/>
      <c r="Y12" s="608"/>
      <c r="Z12" s="599"/>
      <c r="AA12" s="576"/>
      <c r="AB12" s="2"/>
      <c r="AC12" s="623"/>
      <c r="AD12" s="630">
        <v>7</v>
      </c>
      <c r="AE12" s="608"/>
      <c r="AF12" s="608"/>
      <c r="AG12" s="608"/>
      <c r="AH12" s="608"/>
      <c r="AI12" s="608"/>
      <c r="AJ12" s="625"/>
      <c r="AK12" s="576"/>
    </row>
    <row r="13" spans="1:37" ht="12.4" customHeight="1" x14ac:dyDescent="0.2">
      <c r="A13" s="2"/>
      <c r="B13" s="162"/>
      <c r="C13" s="33"/>
      <c r="D13" s="38"/>
      <c r="E13" s="33"/>
      <c r="F13" s="33"/>
      <c r="G13" s="38"/>
      <c r="H13" s="28"/>
      <c r="I13" s="28"/>
      <c r="J13" s="33"/>
      <c r="K13" s="38"/>
      <c r="L13" s="28"/>
      <c r="M13" s="28"/>
      <c r="N13" s="28"/>
      <c r="O13" s="38"/>
      <c r="P13" s="163"/>
      <c r="Q13" s="1"/>
      <c r="R13" s="2"/>
      <c r="S13" s="597"/>
      <c r="T13" s="607">
        <v>8</v>
      </c>
      <c r="U13" s="608"/>
      <c r="V13" s="608"/>
      <c r="W13" s="608"/>
      <c r="X13" s="608"/>
      <c r="Y13" s="608"/>
      <c r="Z13" s="599"/>
      <c r="AA13" s="576"/>
      <c r="AB13" s="2"/>
      <c r="AC13" s="623"/>
      <c r="AD13" s="630">
        <v>8</v>
      </c>
      <c r="AE13" s="608"/>
      <c r="AF13" s="608"/>
      <c r="AG13" s="608"/>
      <c r="AH13" s="608"/>
      <c r="AI13" s="608"/>
      <c r="AJ13" s="625"/>
      <c r="AK13" s="576"/>
    </row>
    <row r="14" spans="1:37" ht="12.4" customHeight="1" x14ac:dyDescent="0.2">
      <c r="A14" s="2"/>
      <c r="B14" s="162"/>
      <c r="C14" s="208"/>
      <c r="D14" s="21"/>
      <c r="E14" s="208"/>
      <c r="F14" s="208"/>
      <c r="G14" s="21"/>
      <c r="H14" s="28"/>
      <c r="I14" s="14"/>
      <c r="J14" s="33"/>
      <c r="K14" s="38"/>
      <c r="L14" s="28"/>
      <c r="M14" s="28"/>
      <c r="N14" s="28"/>
      <c r="O14" s="38"/>
      <c r="P14" s="163"/>
      <c r="Q14" s="1"/>
      <c r="R14" s="2"/>
      <c r="S14" s="597"/>
      <c r="T14" s="607">
        <v>9</v>
      </c>
      <c r="U14" s="608"/>
      <c r="V14" s="608"/>
      <c r="W14" s="608"/>
      <c r="X14" s="608"/>
      <c r="Y14" s="608"/>
      <c r="Z14" s="599"/>
      <c r="AA14" s="576"/>
      <c r="AB14" s="2"/>
      <c r="AC14" s="623"/>
      <c r="AD14" s="630">
        <v>9</v>
      </c>
      <c r="AE14" s="608"/>
      <c r="AF14" s="608"/>
      <c r="AG14" s="608"/>
      <c r="AH14" s="608"/>
      <c r="AI14" s="608"/>
      <c r="AJ14" s="625"/>
      <c r="AK14" s="576"/>
    </row>
    <row r="15" spans="1:37" ht="12.4" customHeight="1" x14ac:dyDescent="0.2">
      <c r="A15" s="2"/>
      <c r="B15" s="162"/>
      <c r="C15" s="208"/>
      <c r="D15" s="21"/>
      <c r="E15" s="208"/>
      <c r="F15" s="208"/>
      <c r="G15" s="21"/>
      <c r="H15" s="14"/>
      <c r="I15" s="14"/>
      <c r="J15" s="208"/>
      <c r="K15" s="21"/>
      <c r="L15" s="14"/>
      <c r="M15" s="14"/>
      <c r="N15" s="14"/>
      <c r="O15" s="21"/>
      <c r="P15" s="163"/>
      <c r="Q15" s="1"/>
      <c r="R15" s="2"/>
      <c r="S15" s="597"/>
      <c r="T15" s="607">
        <v>10</v>
      </c>
      <c r="U15" s="608"/>
      <c r="V15" s="608"/>
      <c r="W15" s="608"/>
      <c r="X15" s="608"/>
      <c r="Y15" s="608"/>
      <c r="Z15" s="599"/>
      <c r="AA15" s="576"/>
      <c r="AB15" s="2"/>
      <c r="AC15" s="623"/>
      <c r="AD15" s="630">
        <v>10</v>
      </c>
      <c r="AE15" s="608"/>
      <c r="AF15" s="608"/>
      <c r="AG15" s="608"/>
      <c r="AH15" s="608"/>
      <c r="AI15" s="608"/>
      <c r="AJ15" s="625"/>
      <c r="AK15" s="576"/>
    </row>
    <row r="16" spans="1:37" ht="12.4" customHeight="1" x14ac:dyDescent="0.2">
      <c r="A16" s="2"/>
      <c r="B16" s="162"/>
      <c r="C16" s="208"/>
      <c r="D16" s="21"/>
      <c r="E16" s="208"/>
      <c r="F16" s="208"/>
      <c r="G16" s="21"/>
      <c r="H16" s="14"/>
      <c r="I16" s="14"/>
      <c r="J16" s="208"/>
      <c r="K16" s="21"/>
      <c r="L16" s="14"/>
      <c r="M16" s="14"/>
      <c r="N16" s="14"/>
      <c r="O16" s="21"/>
      <c r="P16" s="163"/>
      <c r="Q16" s="1"/>
      <c r="R16" s="2"/>
      <c r="S16" s="597"/>
      <c r="T16" s="607">
        <v>11</v>
      </c>
      <c r="U16" s="608"/>
      <c r="V16" s="608"/>
      <c r="W16" s="608"/>
      <c r="X16" s="608"/>
      <c r="Y16" s="608"/>
      <c r="Z16" s="599"/>
      <c r="AA16" s="576"/>
      <c r="AB16" s="2"/>
      <c r="AC16" s="623"/>
      <c r="AD16" s="630">
        <v>11</v>
      </c>
      <c r="AE16" s="608"/>
      <c r="AF16" s="608"/>
      <c r="AG16" s="608"/>
      <c r="AH16" s="608"/>
      <c r="AI16" s="608"/>
      <c r="AJ16" s="625"/>
      <c r="AK16" s="576"/>
    </row>
    <row r="17" spans="1:37" ht="12.4" customHeight="1" x14ac:dyDescent="0.2">
      <c r="A17" s="2"/>
      <c r="B17" s="162"/>
      <c r="C17" s="33"/>
      <c r="D17" s="38"/>
      <c r="E17" s="33"/>
      <c r="F17" s="33"/>
      <c r="G17" s="38"/>
      <c r="H17" s="28"/>
      <c r="I17" s="28"/>
      <c r="J17" s="33"/>
      <c r="K17" s="38"/>
      <c r="L17" s="28"/>
      <c r="M17" s="28"/>
      <c r="N17" s="28"/>
      <c r="O17" s="38"/>
      <c r="P17" s="163"/>
      <c r="Q17" s="1"/>
      <c r="R17" s="2"/>
      <c r="S17" s="597"/>
      <c r="T17" s="607">
        <v>12</v>
      </c>
      <c r="U17" s="608"/>
      <c r="V17" s="608"/>
      <c r="W17" s="608"/>
      <c r="X17" s="608"/>
      <c r="Y17" s="608"/>
      <c r="Z17" s="599"/>
      <c r="AA17" s="576"/>
      <c r="AB17" s="2"/>
      <c r="AC17" s="623"/>
      <c r="AD17" s="630">
        <v>12</v>
      </c>
      <c r="AE17" s="608"/>
      <c r="AF17" s="608"/>
      <c r="AG17" s="608"/>
      <c r="AH17" s="608"/>
      <c r="AI17" s="608"/>
      <c r="AJ17" s="625"/>
      <c r="AK17" s="576"/>
    </row>
    <row r="18" spans="1:37" ht="12.4" customHeight="1" x14ac:dyDescent="0.2">
      <c r="A18" s="2"/>
      <c r="B18" s="162"/>
      <c r="C18" s="208"/>
      <c r="D18" s="21"/>
      <c r="E18" s="208"/>
      <c r="F18" s="208"/>
      <c r="G18" s="21"/>
      <c r="H18" s="28"/>
      <c r="I18" s="14"/>
      <c r="J18" s="33"/>
      <c r="K18" s="38"/>
      <c r="L18" s="28"/>
      <c r="M18" s="28"/>
      <c r="N18" s="28"/>
      <c r="O18" s="38"/>
      <c r="P18" s="163"/>
      <c r="Q18" s="1"/>
      <c r="R18" s="2"/>
      <c r="S18" s="597"/>
      <c r="T18" s="607">
        <v>13</v>
      </c>
      <c r="U18" s="608"/>
      <c r="V18" s="608"/>
      <c r="W18" s="608"/>
      <c r="X18" s="608"/>
      <c r="Y18" s="608"/>
      <c r="Z18" s="599"/>
      <c r="AA18" s="576"/>
      <c r="AB18" s="2"/>
      <c r="AC18" s="623"/>
      <c r="AD18" s="630">
        <v>13</v>
      </c>
      <c r="AE18" s="608"/>
      <c r="AF18" s="608"/>
      <c r="AG18" s="608"/>
      <c r="AH18" s="608"/>
      <c r="AI18" s="608"/>
      <c r="AJ18" s="625"/>
      <c r="AK18" s="576"/>
    </row>
    <row r="19" spans="1:37" ht="12.4" customHeight="1" x14ac:dyDescent="0.2">
      <c r="A19" s="2"/>
      <c r="B19" s="162"/>
      <c r="C19" s="208"/>
      <c r="D19" s="21"/>
      <c r="E19" s="208"/>
      <c r="F19" s="208"/>
      <c r="G19" s="21"/>
      <c r="H19" s="14"/>
      <c r="I19" s="14"/>
      <c r="J19" s="208"/>
      <c r="K19" s="21"/>
      <c r="L19" s="14"/>
      <c r="M19" s="14"/>
      <c r="N19" s="14"/>
      <c r="O19" s="21"/>
      <c r="P19" s="163"/>
      <c r="Q19" s="1"/>
      <c r="R19" s="2"/>
      <c r="S19" s="597"/>
      <c r="T19" s="607">
        <v>14</v>
      </c>
      <c r="U19" s="608"/>
      <c r="V19" s="608"/>
      <c r="W19" s="608"/>
      <c r="X19" s="608"/>
      <c r="Y19" s="608"/>
      <c r="Z19" s="599"/>
      <c r="AA19" s="576"/>
      <c r="AB19" s="2"/>
      <c r="AC19" s="623"/>
      <c r="AD19" s="630">
        <v>14</v>
      </c>
      <c r="AE19" s="608"/>
      <c r="AF19" s="608"/>
      <c r="AG19" s="608"/>
      <c r="AH19" s="608"/>
      <c r="AI19" s="608"/>
      <c r="AJ19" s="625"/>
      <c r="AK19" s="576"/>
    </row>
    <row r="20" spans="1:37" ht="12.4" customHeight="1" x14ac:dyDescent="0.2">
      <c r="A20" s="2"/>
      <c r="B20" s="162"/>
      <c r="C20" s="33"/>
      <c r="D20" s="38"/>
      <c r="E20" s="33"/>
      <c r="F20" s="33"/>
      <c r="G20" s="38"/>
      <c r="H20" s="28"/>
      <c r="I20" s="28"/>
      <c r="J20" s="33"/>
      <c r="K20" s="38"/>
      <c r="L20" s="28"/>
      <c r="M20" s="28"/>
      <c r="N20" s="28"/>
      <c r="O20" s="38"/>
      <c r="P20" s="163"/>
      <c r="Q20" s="1"/>
      <c r="R20" s="2"/>
      <c r="S20" s="597"/>
      <c r="T20" s="607">
        <v>15</v>
      </c>
      <c r="U20" s="608"/>
      <c r="V20" s="608"/>
      <c r="W20" s="608"/>
      <c r="X20" s="608"/>
      <c r="Y20" s="608"/>
      <c r="Z20" s="599"/>
      <c r="AA20" s="576"/>
      <c r="AB20" s="2"/>
      <c r="AC20" s="623"/>
      <c r="AD20" s="630">
        <v>15</v>
      </c>
      <c r="AE20" s="608"/>
      <c r="AF20" s="608"/>
      <c r="AG20" s="608"/>
      <c r="AH20" s="608"/>
      <c r="AI20" s="608"/>
      <c r="AJ20" s="625"/>
      <c r="AK20" s="576"/>
    </row>
    <row r="21" spans="1:37" ht="12.4" customHeight="1" x14ac:dyDescent="0.2">
      <c r="A21" s="2"/>
      <c r="B21" s="162"/>
      <c r="C21" s="208"/>
      <c r="D21" s="21"/>
      <c r="E21" s="208"/>
      <c r="F21" s="208"/>
      <c r="G21" s="21"/>
      <c r="H21" s="28"/>
      <c r="I21" s="14"/>
      <c r="J21" s="33"/>
      <c r="K21" s="38"/>
      <c r="L21" s="28"/>
      <c r="M21" s="28"/>
      <c r="N21" s="28"/>
      <c r="O21" s="38"/>
      <c r="P21" s="163"/>
      <c r="Q21" s="1"/>
      <c r="R21" s="2"/>
      <c r="S21" s="597"/>
      <c r="T21" s="607">
        <v>16</v>
      </c>
      <c r="U21" s="608"/>
      <c r="V21" s="608"/>
      <c r="W21" s="608"/>
      <c r="X21" s="608"/>
      <c r="Y21" s="608"/>
      <c r="Z21" s="599"/>
      <c r="AA21" s="576"/>
      <c r="AB21" s="2"/>
      <c r="AC21" s="623"/>
      <c r="AD21" s="630">
        <v>16</v>
      </c>
      <c r="AE21" s="608"/>
      <c r="AF21" s="608"/>
      <c r="AG21" s="608"/>
      <c r="AH21" s="608"/>
      <c r="AI21" s="608"/>
      <c r="AJ21" s="625"/>
      <c r="AK21" s="576"/>
    </row>
    <row r="22" spans="1:37" ht="12.4" customHeight="1" x14ac:dyDescent="0.2">
      <c r="A22" s="2"/>
      <c r="B22" s="162"/>
      <c r="C22" s="208"/>
      <c r="D22" s="21"/>
      <c r="E22" s="208"/>
      <c r="F22" s="208"/>
      <c r="G22" s="21"/>
      <c r="H22" s="14"/>
      <c r="I22" s="14"/>
      <c r="J22" s="208"/>
      <c r="K22" s="21"/>
      <c r="L22" s="14"/>
      <c r="M22" s="14"/>
      <c r="N22" s="14"/>
      <c r="O22" s="21"/>
      <c r="P22" s="163"/>
      <c r="Q22" s="1"/>
      <c r="R22" s="2"/>
      <c r="S22" s="597"/>
      <c r="T22" s="607">
        <v>17</v>
      </c>
      <c r="U22" s="608"/>
      <c r="V22" s="608"/>
      <c r="W22" s="608"/>
      <c r="X22" s="608"/>
      <c r="Y22" s="608"/>
      <c r="Z22" s="599"/>
      <c r="AA22" s="576"/>
      <c r="AB22" s="2"/>
      <c r="AC22" s="623"/>
      <c r="AD22" s="630">
        <v>17</v>
      </c>
      <c r="AE22" s="608"/>
      <c r="AF22" s="608"/>
      <c r="AG22" s="608"/>
      <c r="AH22" s="608"/>
      <c r="AI22" s="608"/>
      <c r="AJ22" s="625"/>
      <c r="AK22" s="576"/>
    </row>
    <row r="23" spans="1:37" ht="12.4" customHeight="1" x14ac:dyDescent="0.2">
      <c r="A23" s="2"/>
      <c r="B23" s="162"/>
      <c r="C23" s="208"/>
      <c r="D23" s="21"/>
      <c r="E23" s="208"/>
      <c r="F23" s="208"/>
      <c r="G23" s="21"/>
      <c r="H23" s="14"/>
      <c r="I23" s="14"/>
      <c r="J23" s="208"/>
      <c r="K23" s="21"/>
      <c r="L23" s="14"/>
      <c r="M23" s="14"/>
      <c r="N23" s="14"/>
      <c r="O23" s="21"/>
      <c r="P23" s="163"/>
      <c r="Q23" s="1"/>
      <c r="R23" s="2"/>
      <c r="S23" s="597"/>
      <c r="T23" s="607">
        <v>18</v>
      </c>
      <c r="U23" s="608"/>
      <c r="V23" s="608"/>
      <c r="W23" s="608"/>
      <c r="X23" s="608"/>
      <c r="Y23" s="608"/>
      <c r="Z23" s="599"/>
      <c r="AA23" s="576"/>
      <c r="AB23" s="2"/>
      <c r="AC23" s="623"/>
      <c r="AD23" s="630">
        <v>18</v>
      </c>
      <c r="AE23" s="608"/>
      <c r="AF23" s="608"/>
      <c r="AG23" s="608"/>
      <c r="AH23" s="608"/>
      <c r="AI23" s="608"/>
      <c r="AJ23" s="625"/>
      <c r="AK23" s="576"/>
    </row>
    <row r="24" spans="1:37" ht="12.4" customHeight="1" x14ac:dyDescent="0.2">
      <c r="A24" s="2"/>
      <c r="B24" s="162"/>
      <c r="C24" s="33"/>
      <c r="D24" s="38"/>
      <c r="E24" s="33"/>
      <c r="F24" s="33"/>
      <c r="G24" s="38"/>
      <c r="H24" s="28"/>
      <c r="I24" s="28"/>
      <c r="J24" s="33"/>
      <c r="K24" s="38"/>
      <c r="L24" s="28"/>
      <c r="M24" s="28"/>
      <c r="N24" s="28"/>
      <c r="O24" s="38"/>
      <c r="P24" s="163"/>
      <c r="Q24" s="1"/>
      <c r="R24" s="2"/>
      <c r="S24" s="597"/>
      <c r="T24" s="607">
        <v>19</v>
      </c>
      <c r="U24" s="608"/>
      <c r="V24" s="608"/>
      <c r="W24" s="608"/>
      <c r="X24" s="608"/>
      <c r="Y24" s="608"/>
      <c r="Z24" s="599"/>
      <c r="AA24" s="576"/>
      <c r="AB24" s="2"/>
      <c r="AC24" s="623"/>
      <c r="AD24" s="630">
        <v>19</v>
      </c>
      <c r="AE24" s="608"/>
      <c r="AF24" s="608"/>
      <c r="AG24" s="608"/>
      <c r="AH24" s="608"/>
      <c r="AI24" s="608"/>
      <c r="AJ24" s="625"/>
      <c r="AK24" s="576"/>
    </row>
    <row r="25" spans="1:37" ht="12.4" customHeight="1" x14ac:dyDescent="0.2">
      <c r="A25" s="2"/>
      <c r="B25" s="162"/>
      <c r="C25" s="208"/>
      <c r="D25" s="21"/>
      <c r="E25" s="208"/>
      <c r="F25" s="208"/>
      <c r="G25" s="21"/>
      <c r="H25" s="28"/>
      <c r="I25" s="14"/>
      <c r="J25" s="33"/>
      <c r="K25" s="38"/>
      <c r="L25" s="28"/>
      <c r="M25" s="28"/>
      <c r="N25" s="28"/>
      <c r="O25" s="38"/>
      <c r="P25" s="163"/>
      <c r="Q25" s="1"/>
      <c r="R25" s="2"/>
      <c r="S25" s="597"/>
      <c r="T25" s="607">
        <v>20</v>
      </c>
      <c r="U25" s="608"/>
      <c r="V25" s="608"/>
      <c r="W25" s="608"/>
      <c r="X25" s="608"/>
      <c r="Y25" s="608"/>
      <c r="Z25" s="599"/>
      <c r="AA25" s="576"/>
      <c r="AB25" s="2"/>
      <c r="AC25" s="623"/>
      <c r="AD25" s="630">
        <v>20</v>
      </c>
      <c r="AE25" s="608"/>
      <c r="AF25" s="608"/>
      <c r="AG25" s="608"/>
      <c r="AH25" s="608"/>
      <c r="AI25" s="608"/>
      <c r="AJ25" s="625"/>
      <c r="AK25" s="576"/>
    </row>
    <row r="26" spans="1:37" ht="12.4" customHeight="1" x14ac:dyDescent="0.2">
      <c r="A26" s="2"/>
      <c r="B26" s="162"/>
      <c r="C26" s="208"/>
      <c r="D26" s="21"/>
      <c r="E26" s="208"/>
      <c r="F26" s="208"/>
      <c r="G26" s="21"/>
      <c r="H26" s="14"/>
      <c r="I26" s="14"/>
      <c r="J26" s="208"/>
      <c r="K26" s="21"/>
      <c r="L26" s="14"/>
      <c r="M26" s="14"/>
      <c r="N26" s="14"/>
      <c r="O26" s="21"/>
      <c r="P26" s="163"/>
      <c r="Q26" s="1"/>
      <c r="R26" s="2"/>
      <c r="S26" s="597"/>
      <c r="T26" s="607">
        <v>21</v>
      </c>
      <c r="U26" s="608"/>
      <c r="V26" s="608"/>
      <c r="W26" s="608"/>
      <c r="X26" s="608"/>
      <c r="Y26" s="608"/>
      <c r="Z26" s="599"/>
      <c r="AA26" s="576"/>
      <c r="AB26" s="2"/>
      <c r="AC26" s="623"/>
      <c r="AD26" s="630">
        <v>21</v>
      </c>
      <c r="AE26" s="608"/>
      <c r="AF26" s="608"/>
      <c r="AG26" s="608"/>
      <c r="AH26" s="608"/>
      <c r="AI26" s="608"/>
      <c r="AJ26" s="625"/>
      <c r="AK26" s="576"/>
    </row>
    <row r="27" spans="1:37" ht="12.4" customHeight="1" x14ac:dyDescent="0.2">
      <c r="A27" s="2"/>
      <c r="B27" s="162"/>
      <c r="C27" s="33"/>
      <c r="D27" s="38"/>
      <c r="E27" s="33"/>
      <c r="F27" s="33"/>
      <c r="G27" s="38"/>
      <c r="H27" s="28"/>
      <c r="I27" s="28"/>
      <c r="J27" s="33"/>
      <c r="K27" s="38"/>
      <c r="L27" s="28"/>
      <c r="M27" s="28"/>
      <c r="N27" s="28"/>
      <c r="O27" s="38"/>
      <c r="P27" s="163"/>
      <c r="Q27" s="1"/>
      <c r="R27" s="2"/>
      <c r="S27" s="597"/>
      <c r="T27" s="607">
        <v>22</v>
      </c>
      <c r="U27" s="608"/>
      <c r="V27" s="608"/>
      <c r="W27" s="608"/>
      <c r="X27" s="608"/>
      <c r="Y27" s="608"/>
      <c r="Z27" s="599"/>
      <c r="AA27" s="576"/>
      <c r="AB27" s="2"/>
      <c r="AC27" s="623"/>
      <c r="AD27" s="630">
        <v>22</v>
      </c>
      <c r="AE27" s="608"/>
      <c r="AF27" s="608"/>
      <c r="AG27" s="608"/>
      <c r="AH27" s="608"/>
      <c r="AI27" s="608"/>
      <c r="AJ27" s="625"/>
      <c r="AK27" s="576"/>
    </row>
    <row r="28" spans="1:37" ht="12.4" customHeight="1" x14ac:dyDescent="0.2">
      <c r="A28" s="2"/>
      <c r="B28" s="162"/>
      <c r="C28" s="208"/>
      <c r="D28" s="21"/>
      <c r="E28" s="208"/>
      <c r="F28" s="208"/>
      <c r="G28" s="21"/>
      <c r="H28" s="28"/>
      <c r="I28" s="14"/>
      <c r="J28" s="33"/>
      <c r="K28" s="38"/>
      <c r="L28" s="28"/>
      <c r="M28" s="28"/>
      <c r="N28" s="28"/>
      <c r="O28" s="38"/>
      <c r="P28" s="163"/>
      <c r="Q28" s="1"/>
      <c r="R28" s="2"/>
      <c r="S28" s="597"/>
      <c r="T28" s="607">
        <v>23</v>
      </c>
      <c r="U28" s="608"/>
      <c r="V28" s="608"/>
      <c r="W28" s="608"/>
      <c r="X28" s="608"/>
      <c r="Y28" s="608"/>
      <c r="Z28" s="599"/>
      <c r="AA28" s="576"/>
      <c r="AB28" s="2"/>
      <c r="AC28" s="623"/>
      <c r="AD28" s="630">
        <v>23</v>
      </c>
      <c r="AE28" s="608"/>
      <c r="AF28" s="608"/>
      <c r="AG28" s="608"/>
      <c r="AH28" s="608"/>
      <c r="AI28" s="608"/>
      <c r="AJ28" s="625"/>
      <c r="AK28" s="576"/>
    </row>
    <row r="29" spans="1:37" ht="12.4" customHeight="1" x14ac:dyDescent="0.2">
      <c r="A29" s="2"/>
      <c r="B29" s="162"/>
      <c r="C29" s="208"/>
      <c r="D29" s="21"/>
      <c r="E29" s="208"/>
      <c r="F29" s="208"/>
      <c r="G29" s="21"/>
      <c r="H29" s="14"/>
      <c r="I29" s="14"/>
      <c r="J29" s="208"/>
      <c r="K29" s="21"/>
      <c r="L29" s="14"/>
      <c r="M29" s="14"/>
      <c r="N29" s="14"/>
      <c r="O29" s="21"/>
      <c r="P29" s="163"/>
      <c r="Q29" s="1"/>
      <c r="R29" s="2"/>
      <c r="S29" s="597"/>
      <c r="T29" s="607">
        <v>24</v>
      </c>
      <c r="U29" s="608"/>
      <c r="V29" s="608"/>
      <c r="W29" s="608"/>
      <c r="X29" s="608"/>
      <c r="Y29" s="608"/>
      <c r="Z29" s="599"/>
      <c r="AA29" s="576"/>
      <c r="AB29" s="2"/>
      <c r="AC29" s="623"/>
      <c r="AD29" s="630">
        <v>24</v>
      </c>
      <c r="AE29" s="608"/>
      <c r="AF29" s="608"/>
      <c r="AG29" s="608"/>
      <c r="AH29" s="608"/>
      <c r="AI29" s="608"/>
      <c r="AJ29" s="625"/>
      <c r="AK29" s="576"/>
    </row>
    <row r="30" spans="1:37" ht="12.4" customHeight="1" x14ac:dyDescent="0.2">
      <c r="A30" s="2"/>
      <c r="B30" s="162"/>
      <c r="C30" s="208"/>
      <c r="D30" s="21"/>
      <c r="E30" s="208"/>
      <c r="F30" s="208"/>
      <c r="G30" s="21"/>
      <c r="H30" s="14"/>
      <c r="I30" s="14"/>
      <c r="J30" s="208"/>
      <c r="K30" s="21"/>
      <c r="L30" s="14"/>
      <c r="M30" s="14"/>
      <c r="N30" s="14"/>
      <c r="O30" s="21"/>
      <c r="P30" s="163"/>
      <c r="Q30" s="1"/>
      <c r="R30" s="2"/>
      <c r="S30" s="597"/>
      <c r="T30" s="607">
        <v>25</v>
      </c>
      <c r="U30" s="608"/>
      <c r="V30" s="608"/>
      <c r="W30" s="608"/>
      <c r="X30" s="608"/>
      <c r="Y30" s="608"/>
      <c r="Z30" s="599"/>
      <c r="AA30" s="576"/>
      <c r="AB30" s="2"/>
      <c r="AC30" s="623"/>
      <c r="AD30" s="630">
        <v>25</v>
      </c>
      <c r="AE30" s="608"/>
      <c r="AF30" s="608"/>
      <c r="AG30" s="608"/>
      <c r="AH30" s="608"/>
      <c r="AI30" s="608"/>
      <c r="AJ30" s="625"/>
      <c r="AK30" s="576"/>
    </row>
    <row r="31" spans="1:37" ht="12.4" customHeight="1" x14ac:dyDescent="0.2">
      <c r="A31" s="2"/>
      <c r="B31" s="162"/>
      <c r="C31" s="33"/>
      <c r="D31" s="38"/>
      <c r="E31" s="33"/>
      <c r="F31" s="33"/>
      <c r="G31" s="38"/>
      <c r="H31" s="28"/>
      <c r="I31" s="28"/>
      <c r="J31" s="33"/>
      <c r="K31" s="38"/>
      <c r="L31" s="28"/>
      <c r="M31" s="28"/>
      <c r="N31" s="28"/>
      <c r="O31" s="38"/>
      <c r="P31" s="163"/>
      <c r="Q31" s="1"/>
      <c r="R31" s="2"/>
      <c r="S31" s="597"/>
      <c r="T31" s="607">
        <v>26</v>
      </c>
      <c r="U31" s="608"/>
      <c r="V31" s="608"/>
      <c r="W31" s="608"/>
      <c r="X31" s="608"/>
      <c r="Y31" s="608"/>
      <c r="Z31" s="599"/>
      <c r="AA31" s="576"/>
      <c r="AB31" s="2"/>
      <c r="AC31" s="623"/>
      <c r="AD31" s="630">
        <v>26</v>
      </c>
      <c r="AE31" s="608"/>
      <c r="AF31" s="608"/>
      <c r="AG31" s="608"/>
      <c r="AH31" s="608"/>
      <c r="AI31" s="608"/>
      <c r="AJ31" s="625"/>
      <c r="AK31" s="576"/>
    </row>
    <row r="32" spans="1:37" ht="12.4" customHeight="1" x14ac:dyDescent="0.2">
      <c r="A32" s="2"/>
      <c r="B32" s="162"/>
      <c r="C32" s="208"/>
      <c r="D32" s="21"/>
      <c r="E32" s="208"/>
      <c r="F32" s="208"/>
      <c r="G32" s="21"/>
      <c r="H32" s="28"/>
      <c r="I32" s="14"/>
      <c r="J32" s="33"/>
      <c r="K32" s="38"/>
      <c r="L32" s="28"/>
      <c r="M32" s="28"/>
      <c r="N32" s="28"/>
      <c r="O32" s="38"/>
      <c r="P32" s="163"/>
      <c r="Q32" s="1"/>
      <c r="R32" s="2"/>
      <c r="S32" s="597"/>
      <c r="T32" s="607">
        <v>27</v>
      </c>
      <c r="U32" s="608"/>
      <c r="V32" s="608"/>
      <c r="W32" s="608"/>
      <c r="X32" s="608"/>
      <c r="Y32" s="608"/>
      <c r="Z32" s="599"/>
      <c r="AA32" s="576"/>
      <c r="AB32" s="2"/>
      <c r="AC32" s="623"/>
      <c r="AD32" s="630">
        <v>27</v>
      </c>
      <c r="AE32" s="608"/>
      <c r="AF32" s="608"/>
      <c r="AG32" s="608"/>
      <c r="AH32" s="608"/>
      <c r="AI32" s="608"/>
      <c r="AJ32" s="625"/>
      <c r="AK32" s="576"/>
    </row>
    <row r="33" spans="1:37" ht="12.4" customHeight="1" x14ac:dyDescent="0.2">
      <c r="A33" s="2"/>
      <c r="B33" s="162"/>
      <c r="C33" s="33"/>
      <c r="D33" s="38"/>
      <c r="E33" s="33"/>
      <c r="F33" s="33"/>
      <c r="G33" s="38"/>
      <c r="H33" s="28"/>
      <c r="I33" s="28"/>
      <c r="J33" s="33"/>
      <c r="K33" s="38"/>
      <c r="L33" s="28"/>
      <c r="M33" s="28"/>
      <c r="N33" s="28"/>
      <c r="O33" s="38"/>
      <c r="P33" s="163"/>
      <c r="Q33" s="1"/>
      <c r="R33" s="2"/>
      <c r="S33" s="597"/>
      <c r="T33" s="607">
        <v>28</v>
      </c>
      <c r="U33" s="608"/>
      <c r="V33" s="608"/>
      <c r="W33" s="608"/>
      <c r="X33" s="608"/>
      <c r="Y33" s="608"/>
      <c r="Z33" s="599"/>
      <c r="AA33" s="576"/>
      <c r="AB33" s="2"/>
      <c r="AC33" s="623"/>
      <c r="AD33" s="630">
        <v>28</v>
      </c>
      <c r="AE33" s="608"/>
      <c r="AF33" s="608"/>
      <c r="AG33" s="608"/>
      <c r="AH33" s="608"/>
      <c r="AI33" s="608"/>
      <c r="AJ33" s="625"/>
      <c r="AK33" s="576"/>
    </row>
    <row r="34" spans="1:37" ht="12.4" customHeight="1" x14ac:dyDescent="0.2">
      <c r="A34" s="2"/>
      <c r="B34" s="162"/>
      <c r="C34" s="208"/>
      <c r="D34" s="21"/>
      <c r="E34" s="208"/>
      <c r="F34" s="208"/>
      <c r="G34" s="21"/>
      <c r="H34" s="28"/>
      <c r="I34" s="14"/>
      <c r="J34" s="33"/>
      <c r="K34" s="38"/>
      <c r="L34" s="28"/>
      <c r="M34" s="28"/>
      <c r="N34" s="28"/>
      <c r="O34" s="38"/>
      <c r="P34" s="163"/>
      <c r="Q34" s="1"/>
      <c r="R34" s="2"/>
      <c r="S34" s="597"/>
      <c r="T34" s="607">
        <v>29</v>
      </c>
      <c r="U34" s="608"/>
      <c r="V34" s="608"/>
      <c r="W34" s="608"/>
      <c r="X34" s="608"/>
      <c r="Y34" s="608"/>
      <c r="Z34" s="599"/>
      <c r="AA34" s="576"/>
      <c r="AB34" s="2"/>
      <c r="AC34" s="623"/>
      <c r="AD34" s="630">
        <v>29</v>
      </c>
      <c r="AE34" s="608"/>
      <c r="AF34" s="608"/>
      <c r="AG34" s="608"/>
      <c r="AH34" s="608"/>
      <c r="AI34" s="608"/>
      <c r="AJ34" s="625"/>
      <c r="AK34" s="576"/>
    </row>
    <row r="35" spans="1:37" ht="12.4" customHeight="1" x14ac:dyDescent="0.2">
      <c r="A35" s="2"/>
      <c r="B35" s="162"/>
      <c r="C35" s="208"/>
      <c r="D35" s="21"/>
      <c r="E35" s="208"/>
      <c r="F35" s="208"/>
      <c r="G35" s="21"/>
      <c r="H35" s="14"/>
      <c r="I35" s="14"/>
      <c r="J35" s="208"/>
      <c r="K35" s="21"/>
      <c r="L35" s="14"/>
      <c r="M35" s="14"/>
      <c r="N35" s="14"/>
      <c r="O35" s="21"/>
      <c r="P35" s="163"/>
      <c r="Q35" s="1"/>
      <c r="R35" s="2"/>
      <c r="S35" s="597"/>
      <c r="T35" s="607">
        <v>30</v>
      </c>
      <c r="U35" s="608"/>
      <c r="V35" s="608"/>
      <c r="W35" s="608"/>
      <c r="X35" s="608"/>
      <c r="Y35" s="608"/>
      <c r="Z35" s="599"/>
      <c r="AA35" s="576"/>
      <c r="AB35" s="2"/>
      <c r="AC35" s="623"/>
      <c r="AD35" s="630">
        <v>30</v>
      </c>
      <c r="AE35" s="608"/>
      <c r="AF35" s="608"/>
      <c r="AG35" s="608"/>
      <c r="AH35" s="608"/>
      <c r="AI35" s="608"/>
      <c r="AJ35" s="625"/>
      <c r="AK35" s="576"/>
    </row>
    <row r="36" spans="1:37" ht="12.4" customHeight="1" x14ac:dyDescent="0.2">
      <c r="A36" s="2"/>
      <c r="B36" s="162"/>
      <c r="C36" s="208"/>
      <c r="D36" s="21"/>
      <c r="E36" s="208"/>
      <c r="F36" s="208"/>
      <c r="G36" s="21"/>
      <c r="H36" s="14"/>
      <c r="I36" s="14"/>
      <c r="J36" s="208"/>
      <c r="K36" s="21"/>
      <c r="L36" s="14"/>
      <c r="M36" s="14"/>
      <c r="N36" s="14"/>
      <c r="O36" s="21"/>
      <c r="P36" s="163"/>
      <c r="Q36" s="1"/>
      <c r="R36" s="2"/>
      <c r="S36" s="597"/>
      <c r="T36" s="607">
        <v>31</v>
      </c>
      <c r="U36" s="608"/>
      <c r="V36" s="608"/>
      <c r="W36" s="608"/>
      <c r="X36" s="608"/>
      <c r="Y36" s="608"/>
      <c r="Z36" s="599"/>
      <c r="AA36" s="576"/>
      <c r="AB36" s="2"/>
      <c r="AC36" s="623"/>
      <c r="AD36" s="630">
        <v>31</v>
      </c>
      <c r="AE36" s="608"/>
      <c r="AF36" s="608"/>
      <c r="AG36" s="608"/>
      <c r="AH36" s="608"/>
      <c r="AI36" s="608"/>
      <c r="AJ36" s="625"/>
      <c r="AK36" s="576"/>
    </row>
    <row r="37" spans="1:37" ht="12.4" customHeight="1" x14ac:dyDescent="0.2">
      <c r="A37" s="2"/>
      <c r="B37" s="162"/>
      <c r="C37" s="33"/>
      <c r="D37" s="38"/>
      <c r="E37" s="33"/>
      <c r="F37" s="33"/>
      <c r="G37" s="38"/>
      <c r="H37" s="28"/>
      <c r="I37" s="28"/>
      <c r="J37" s="33"/>
      <c r="K37" s="38"/>
      <c r="L37" s="28"/>
      <c r="M37" s="28"/>
      <c r="N37" s="28"/>
      <c r="O37" s="38"/>
      <c r="P37" s="163"/>
      <c r="Q37" s="1"/>
      <c r="R37" s="2"/>
      <c r="S37" s="597"/>
      <c r="T37" s="607">
        <v>32</v>
      </c>
      <c r="U37" s="608"/>
      <c r="V37" s="608"/>
      <c r="W37" s="608"/>
      <c r="X37" s="608"/>
      <c r="Y37" s="608"/>
      <c r="Z37" s="599"/>
      <c r="AA37" s="576"/>
      <c r="AB37" s="2"/>
      <c r="AC37" s="623"/>
      <c r="AD37" s="630">
        <v>32</v>
      </c>
      <c r="AE37" s="608"/>
      <c r="AF37" s="608"/>
      <c r="AG37" s="608"/>
      <c r="AH37" s="608"/>
      <c r="AI37" s="608"/>
      <c r="AJ37" s="625"/>
      <c r="AK37" s="576"/>
    </row>
    <row r="38" spans="1:37" ht="12.4" customHeight="1" x14ac:dyDescent="0.2">
      <c r="A38" s="2"/>
      <c r="B38" s="162"/>
      <c r="C38" s="208"/>
      <c r="D38" s="21"/>
      <c r="E38" s="208"/>
      <c r="F38" s="208"/>
      <c r="G38" s="21"/>
      <c r="H38" s="28"/>
      <c r="I38" s="14"/>
      <c r="J38" s="33"/>
      <c r="K38" s="38"/>
      <c r="L38" s="28"/>
      <c r="M38" s="28"/>
      <c r="N38" s="28"/>
      <c r="O38" s="38"/>
      <c r="P38" s="163"/>
      <c r="Q38" s="1"/>
      <c r="R38" s="2"/>
      <c r="S38" s="597"/>
      <c r="T38" s="607">
        <v>33</v>
      </c>
      <c r="U38" s="608"/>
      <c r="V38" s="608"/>
      <c r="W38" s="608"/>
      <c r="X38" s="608"/>
      <c r="Y38" s="608"/>
      <c r="Z38" s="599"/>
      <c r="AA38" s="576"/>
      <c r="AB38" s="2"/>
      <c r="AC38" s="623"/>
      <c r="AD38" s="630">
        <v>33</v>
      </c>
      <c r="AE38" s="608"/>
      <c r="AF38" s="608"/>
      <c r="AG38" s="608"/>
      <c r="AH38" s="608"/>
      <c r="AI38" s="608"/>
      <c r="AJ38" s="625"/>
      <c r="AK38" s="576"/>
    </row>
    <row r="39" spans="1:37" ht="12.4" customHeight="1" x14ac:dyDescent="0.2">
      <c r="A39" s="2"/>
      <c r="B39" s="162"/>
      <c r="C39" s="208"/>
      <c r="D39" s="21"/>
      <c r="E39" s="208"/>
      <c r="F39" s="208"/>
      <c r="G39" s="21"/>
      <c r="H39" s="14"/>
      <c r="I39" s="14"/>
      <c r="J39" s="208"/>
      <c r="K39" s="21"/>
      <c r="L39" s="14"/>
      <c r="M39" s="14"/>
      <c r="N39" s="14"/>
      <c r="O39" s="21"/>
      <c r="P39" s="163"/>
      <c r="Q39" s="1"/>
      <c r="R39" s="2"/>
      <c r="S39" s="597"/>
      <c r="T39" s="607">
        <v>34</v>
      </c>
      <c r="U39" s="608"/>
      <c r="V39" s="608"/>
      <c r="W39" s="608"/>
      <c r="X39" s="608"/>
      <c r="Y39" s="608"/>
      <c r="Z39" s="599"/>
      <c r="AA39" s="576"/>
      <c r="AB39" s="2"/>
      <c r="AC39" s="623"/>
      <c r="AD39" s="630">
        <v>34</v>
      </c>
      <c r="AE39" s="608"/>
      <c r="AF39" s="608"/>
      <c r="AG39" s="608"/>
      <c r="AH39" s="608"/>
      <c r="AI39" s="608"/>
      <c r="AJ39" s="625"/>
      <c r="AK39" s="576"/>
    </row>
    <row r="40" spans="1:37" ht="12.4" customHeight="1" x14ac:dyDescent="0.2">
      <c r="A40" s="2"/>
      <c r="B40" s="162"/>
      <c r="C40" s="33"/>
      <c r="D40" s="38"/>
      <c r="E40" s="33"/>
      <c r="F40" s="33"/>
      <c r="G40" s="38"/>
      <c r="H40" s="28"/>
      <c r="I40" s="28"/>
      <c r="J40" s="33"/>
      <c r="K40" s="38"/>
      <c r="L40" s="28"/>
      <c r="M40" s="28"/>
      <c r="N40" s="28"/>
      <c r="O40" s="38"/>
      <c r="P40" s="163"/>
      <c r="Q40" s="1"/>
      <c r="R40" s="2"/>
      <c r="S40" s="597"/>
      <c r="T40" s="607">
        <v>35</v>
      </c>
      <c r="U40" s="608"/>
      <c r="V40" s="608"/>
      <c r="W40" s="608"/>
      <c r="X40" s="608"/>
      <c r="Y40" s="608"/>
      <c r="Z40" s="599"/>
      <c r="AA40" s="576"/>
      <c r="AB40" s="2"/>
      <c r="AC40" s="623"/>
      <c r="AD40" s="630">
        <v>35</v>
      </c>
      <c r="AE40" s="608"/>
      <c r="AF40" s="608"/>
      <c r="AG40" s="608"/>
      <c r="AH40" s="608"/>
      <c r="AI40" s="608"/>
      <c r="AJ40" s="625"/>
      <c r="AK40" s="576"/>
    </row>
    <row r="41" spans="1:37" ht="12.4" customHeight="1" x14ac:dyDescent="0.2">
      <c r="A41" s="2"/>
      <c r="B41" s="162"/>
      <c r="C41" s="208"/>
      <c r="D41" s="21"/>
      <c r="E41" s="208"/>
      <c r="F41" s="208"/>
      <c r="G41" s="21"/>
      <c r="H41" s="28"/>
      <c r="I41" s="14"/>
      <c r="J41" s="33"/>
      <c r="K41" s="38"/>
      <c r="L41" s="28"/>
      <c r="M41" s="28"/>
      <c r="N41" s="28"/>
      <c r="O41" s="38"/>
      <c r="P41" s="163"/>
      <c r="Q41" s="1"/>
      <c r="R41" s="2"/>
      <c r="S41" s="597"/>
      <c r="T41" s="607">
        <v>36</v>
      </c>
      <c r="U41" s="608"/>
      <c r="V41" s="608"/>
      <c r="W41" s="608"/>
      <c r="X41" s="608"/>
      <c r="Y41" s="608"/>
      <c r="Z41" s="599"/>
      <c r="AA41" s="576"/>
      <c r="AB41" s="2"/>
      <c r="AC41" s="623"/>
      <c r="AD41" s="630">
        <v>36</v>
      </c>
      <c r="AE41" s="608"/>
      <c r="AF41" s="608"/>
      <c r="AG41" s="608"/>
      <c r="AH41" s="608"/>
      <c r="AI41" s="608"/>
      <c r="AJ41" s="625"/>
      <c r="AK41" s="576"/>
    </row>
    <row r="42" spans="1:37" ht="12.4" customHeight="1" x14ac:dyDescent="0.2">
      <c r="A42" s="2"/>
      <c r="B42" s="162"/>
      <c r="C42" s="208"/>
      <c r="D42" s="21"/>
      <c r="E42" s="208"/>
      <c r="F42" s="208"/>
      <c r="G42" s="21"/>
      <c r="H42" s="14"/>
      <c r="I42" s="14"/>
      <c r="J42" s="208"/>
      <c r="K42" s="21"/>
      <c r="L42" s="14"/>
      <c r="M42" s="14"/>
      <c r="N42" s="14"/>
      <c r="O42" s="21"/>
      <c r="P42" s="163"/>
      <c r="Q42" s="1"/>
      <c r="R42" s="2"/>
      <c r="S42" s="597"/>
      <c r="T42" s="607">
        <v>37</v>
      </c>
      <c r="U42" s="608"/>
      <c r="V42" s="608"/>
      <c r="W42" s="608"/>
      <c r="X42" s="608"/>
      <c r="Y42" s="608"/>
      <c r="Z42" s="599"/>
      <c r="AA42" s="576"/>
      <c r="AB42" s="2"/>
      <c r="AC42" s="623"/>
      <c r="AD42" s="630">
        <v>37</v>
      </c>
      <c r="AE42" s="608"/>
      <c r="AF42" s="608"/>
      <c r="AG42" s="608"/>
      <c r="AH42" s="608"/>
      <c r="AI42" s="608"/>
      <c r="AJ42" s="625"/>
      <c r="AK42" s="576"/>
    </row>
    <row r="43" spans="1:37" ht="12.4" customHeight="1" x14ac:dyDescent="0.2">
      <c r="A43" s="2"/>
      <c r="B43" s="162"/>
      <c r="C43" s="208"/>
      <c r="D43" s="21"/>
      <c r="E43" s="208"/>
      <c r="F43" s="208"/>
      <c r="G43" s="21"/>
      <c r="H43" s="14"/>
      <c r="I43" s="14"/>
      <c r="J43" s="208"/>
      <c r="K43" s="21"/>
      <c r="L43" s="14"/>
      <c r="M43" s="14"/>
      <c r="N43" s="14"/>
      <c r="O43" s="21"/>
      <c r="P43" s="163"/>
      <c r="Q43" s="1"/>
      <c r="R43" s="2"/>
      <c r="S43" s="597"/>
      <c r="T43" s="607">
        <v>38</v>
      </c>
      <c r="U43" s="608"/>
      <c r="V43" s="608"/>
      <c r="W43" s="608"/>
      <c r="X43" s="608"/>
      <c r="Y43" s="608"/>
      <c r="Z43" s="599"/>
      <c r="AA43" s="576"/>
      <c r="AB43" s="2"/>
      <c r="AC43" s="623"/>
      <c r="AD43" s="630">
        <v>38</v>
      </c>
      <c r="AE43" s="608"/>
      <c r="AF43" s="608"/>
      <c r="AG43" s="608"/>
      <c r="AH43" s="608"/>
      <c r="AI43" s="608"/>
      <c r="AJ43" s="625"/>
      <c r="AK43" s="576"/>
    </row>
    <row r="44" spans="1:37" ht="12.4" customHeight="1" x14ac:dyDescent="0.2">
      <c r="A44" s="2"/>
      <c r="B44" s="162"/>
      <c r="C44" s="208"/>
      <c r="D44" s="21"/>
      <c r="E44" s="208"/>
      <c r="F44" s="208"/>
      <c r="G44" s="21"/>
      <c r="H44" s="14"/>
      <c r="I44" s="14"/>
      <c r="J44" s="208"/>
      <c r="K44" s="21"/>
      <c r="L44" s="14"/>
      <c r="M44" s="14"/>
      <c r="N44" s="14"/>
      <c r="O44" s="21"/>
      <c r="P44" s="163"/>
      <c r="Q44" s="1"/>
      <c r="R44" s="2"/>
      <c r="S44" s="597"/>
      <c r="T44" s="607">
        <v>39</v>
      </c>
      <c r="U44" s="608"/>
      <c r="V44" s="608"/>
      <c r="W44" s="608"/>
      <c r="X44" s="608"/>
      <c r="Y44" s="608"/>
      <c r="Z44" s="599"/>
      <c r="AA44" s="576"/>
      <c r="AB44" s="2"/>
      <c r="AC44" s="623"/>
      <c r="AD44" s="630">
        <v>39</v>
      </c>
      <c r="AE44" s="608"/>
      <c r="AF44" s="608"/>
      <c r="AG44" s="608"/>
      <c r="AH44" s="608"/>
      <c r="AI44" s="608"/>
      <c r="AJ44" s="625"/>
      <c r="AK44" s="576"/>
    </row>
    <row r="45" spans="1:37" ht="12.4" customHeight="1" x14ac:dyDescent="0.2">
      <c r="A45" s="2"/>
      <c r="B45" s="162"/>
      <c r="C45" s="33"/>
      <c r="D45" s="38"/>
      <c r="E45" s="33"/>
      <c r="F45" s="33"/>
      <c r="G45" s="38"/>
      <c r="H45" s="28"/>
      <c r="I45" s="28"/>
      <c r="J45" s="33"/>
      <c r="K45" s="38"/>
      <c r="L45" s="28"/>
      <c r="M45" s="28"/>
      <c r="N45" s="28"/>
      <c r="O45" s="38"/>
      <c r="P45" s="163"/>
      <c r="Q45" s="1"/>
      <c r="R45" s="2"/>
      <c r="S45" s="597"/>
      <c r="T45" s="607">
        <v>40</v>
      </c>
      <c r="U45" s="608"/>
      <c r="V45" s="608"/>
      <c r="W45" s="608"/>
      <c r="X45" s="608"/>
      <c r="Y45" s="608"/>
      <c r="Z45" s="599"/>
      <c r="AA45" s="576"/>
      <c r="AB45" s="2"/>
      <c r="AC45" s="623"/>
      <c r="AD45" s="630">
        <v>40</v>
      </c>
      <c r="AE45" s="608"/>
      <c r="AF45" s="608"/>
      <c r="AG45" s="608"/>
      <c r="AH45" s="608"/>
      <c r="AI45" s="608"/>
      <c r="AJ45" s="625"/>
      <c r="AK45" s="576"/>
    </row>
    <row r="46" spans="1:37" ht="12.4" customHeight="1" x14ac:dyDescent="0.2">
      <c r="A46" s="2"/>
      <c r="B46" s="162"/>
      <c r="C46" s="208"/>
      <c r="D46" s="21"/>
      <c r="E46" s="208"/>
      <c r="F46" s="208"/>
      <c r="G46" s="21"/>
      <c r="H46" s="28"/>
      <c r="I46" s="14"/>
      <c r="J46" s="33"/>
      <c r="K46" s="38"/>
      <c r="L46" s="28"/>
      <c r="M46" s="28"/>
      <c r="N46" s="28"/>
      <c r="O46" s="38"/>
      <c r="P46" s="163"/>
      <c r="Q46" s="1"/>
      <c r="R46" s="2"/>
      <c r="S46" s="597"/>
      <c r="T46" s="602"/>
      <c r="U46" s="594"/>
      <c r="V46" s="594"/>
      <c r="W46" s="594"/>
      <c r="X46" s="594"/>
      <c r="Y46" s="594"/>
      <c r="Z46" s="599"/>
      <c r="AA46" s="576"/>
      <c r="AB46" s="2"/>
      <c r="AC46" s="623"/>
      <c r="AD46" s="628"/>
      <c r="AE46" s="620"/>
      <c r="AF46" s="620"/>
      <c r="AG46" s="620"/>
      <c r="AH46" s="620"/>
      <c r="AI46" s="620"/>
      <c r="AJ46" s="625"/>
      <c r="AK46" s="576"/>
    </row>
    <row r="47" spans="1:37" ht="12.4" customHeight="1" x14ac:dyDescent="0.2">
      <c r="A47" s="2"/>
      <c r="B47" s="162"/>
      <c r="C47" s="33"/>
      <c r="D47" s="38"/>
      <c r="E47" s="33"/>
      <c r="F47" s="33"/>
      <c r="G47" s="38"/>
      <c r="H47" s="28"/>
      <c r="I47" s="28"/>
      <c r="J47" s="33"/>
      <c r="K47" s="38"/>
      <c r="L47" s="28"/>
      <c r="M47" s="28"/>
      <c r="N47" s="28"/>
      <c r="O47" s="38"/>
      <c r="P47" s="163"/>
      <c r="Q47" s="1"/>
      <c r="R47" s="2"/>
      <c r="S47" s="597"/>
      <c r="T47" s="609"/>
      <c r="U47" s="610"/>
      <c r="V47" s="611"/>
      <c r="W47" s="609"/>
      <c r="X47" s="608"/>
      <c r="Y47" s="608"/>
      <c r="Z47" s="599"/>
      <c r="AA47" s="576"/>
      <c r="AB47" s="2"/>
      <c r="AC47" s="623"/>
      <c r="AD47" s="609"/>
      <c r="AE47" s="610"/>
      <c r="AF47" s="611"/>
      <c r="AG47" s="609"/>
      <c r="AH47" s="608"/>
      <c r="AI47" s="608"/>
      <c r="AJ47" s="625"/>
      <c r="AK47" s="576"/>
    </row>
    <row r="48" spans="1:37" ht="12.4" customHeight="1" x14ac:dyDescent="0.2">
      <c r="A48" s="2"/>
      <c r="B48" s="162"/>
      <c r="C48" s="208"/>
      <c r="D48" s="21"/>
      <c r="E48" s="208"/>
      <c r="F48" s="208"/>
      <c r="G48" s="21"/>
      <c r="H48" s="28"/>
      <c r="I48" s="14"/>
      <c r="J48" s="33"/>
      <c r="K48" s="38"/>
      <c r="L48" s="28"/>
      <c r="M48" s="28"/>
      <c r="N48" s="28"/>
      <c r="O48" s="38"/>
      <c r="P48" s="163"/>
      <c r="Q48" s="1"/>
      <c r="R48" s="2"/>
      <c r="S48" s="597"/>
      <c r="T48" s="609"/>
      <c r="U48" s="610"/>
      <c r="V48" s="611"/>
      <c r="W48" s="608"/>
      <c r="X48" s="608"/>
      <c r="Y48" s="608"/>
      <c r="Z48" s="599"/>
      <c r="AA48" s="576"/>
      <c r="AB48" s="2"/>
      <c r="AC48" s="623"/>
      <c r="AD48" s="609"/>
      <c r="AE48" s="610"/>
      <c r="AF48" s="611"/>
      <c r="AG48" s="608"/>
      <c r="AH48" s="608"/>
      <c r="AI48" s="608"/>
      <c r="AJ48" s="625"/>
      <c r="AK48" s="576"/>
    </row>
    <row r="49" spans="1:37" ht="12.4" customHeight="1" x14ac:dyDescent="0.2">
      <c r="A49" s="2"/>
      <c r="B49" s="162"/>
      <c r="C49" s="208"/>
      <c r="D49" s="21"/>
      <c r="E49" s="208"/>
      <c r="F49" s="208"/>
      <c r="G49" s="21"/>
      <c r="H49" s="28"/>
      <c r="I49" s="14"/>
      <c r="J49" s="33"/>
      <c r="K49" s="38"/>
      <c r="L49" s="28"/>
      <c r="M49" s="28"/>
      <c r="N49" s="28"/>
      <c r="O49" s="38"/>
      <c r="P49" s="163"/>
      <c r="Q49" s="1"/>
      <c r="R49" s="2"/>
      <c r="S49" s="597"/>
      <c r="T49" s="609"/>
      <c r="U49" s="610"/>
      <c r="V49" s="611"/>
      <c r="W49" s="608"/>
      <c r="X49" s="608"/>
      <c r="Y49" s="608"/>
      <c r="Z49" s="599"/>
      <c r="AA49" s="576"/>
      <c r="AB49" s="2"/>
      <c r="AC49" s="623"/>
      <c r="AD49" s="609"/>
      <c r="AE49" s="610"/>
      <c r="AF49" s="611"/>
      <c r="AG49" s="608"/>
      <c r="AH49" s="608"/>
      <c r="AI49" s="608"/>
      <c r="AJ49" s="625"/>
      <c r="AK49" s="576"/>
    </row>
    <row r="50" spans="1:37" ht="12.4" customHeight="1" x14ac:dyDescent="0.2">
      <c r="A50" s="2"/>
      <c r="B50" s="162"/>
      <c r="C50" s="208"/>
      <c r="D50" s="21"/>
      <c r="E50" s="208"/>
      <c r="F50" s="208"/>
      <c r="G50" s="21"/>
      <c r="H50" s="28"/>
      <c r="I50" s="14"/>
      <c r="J50" s="33"/>
      <c r="K50" s="38"/>
      <c r="L50" s="28"/>
      <c r="M50" s="28"/>
      <c r="N50" s="28"/>
      <c r="O50" s="38"/>
      <c r="P50" s="163"/>
      <c r="Q50" s="1"/>
      <c r="R50" s="2"/>
      <c r="S50" s="597"/>
      <c r="T50" s="609"/>
      <c r="U50" s="610"/>
      <c r="V50" s="611"/>
      <c r="W50" s="608"/>
      <c r="X50" s="608"/>
      <c r="Y50" s="608"/>
      <c r="Z50" s="599"/>
      <c r="AA50" s="576"/>
      <c r="AB50" s="2"/>
      <c r="AC50" s="623"/>
      <c r="AD50" s="609"/>
      <c r="AE50" s="610"/>
      <c r="AF50" s="611"/>
      <c r="AG50" s="608"/>
      <c r="AH50" s="608"/>
      <c r="AI50" s="608"/>
      <c r="AJ50" s="625"/>
      <c r="AK50" s="576"/>
    </row>
    <row r="51" spans="1:37" ht="12.4" customHeight="1" x14ac:dyDescent="0.2">
      <c r="A51" s="2"/>
      <c r="B51" s="162"/>
      <c r="C51" s="208"/>
      <c r="D51" s="21"/>
      <c r="E51" s="208"/>
      <c r="F51" s="208"/>
      <c r="G51" s="21"/>
      <c r="H51" s="28"/>
      <c r="I51" s="14"/>
      <c r="J51" s="33"/>
      <c r="K51" s="38"/>
      <c r="L51" s="28"/>
      <c r="M51" s="28"/>
      <c r="N51" s="28"/>
      <c r="O51" s="38"/>
      <c r="P51" s="163"/>
      <c r="Q51" s="1"/>
      <c r="R51" s="2"/>
      <c r="S51" s="597"/>
      <c r="T51" s="609"/>
      <c r="U51" s="610"/>
      <c r="V51" s="611"/>
      <c r="W51" s="608"/>
      <c r="X51" s="608"/>
      <c r="Y51" s="608"/>
      <c r="Z51" s="599"/>
      <c r="AA51" s="576"/>
      <c r="AB51" s="2"/>
      <c r="AC51" s="623"/>
      <c r="AD51" s="609"/>
      <c r="AE51" s="610"/>
      <c r="AF51" s="611"/>
      <c r="AG51" s="608"/>
      <c r="AH51" s="608"/>
      <c r="AI51" s="608"/>
      <c r="AJ51" s="625"/>
      <c r="AK51" s="576"/>
    </row>
    <row r="52" spans="1:37" ht="12.4" customHeight="1" x14ac:dyDescent="0.2">
      <c r="A52" s="2"/>
      <c r="B52" s="162"/>
      <c r="C52" s="208"/>
      <c r="D52" s="21"/>
      <c r="E52" s="208"/>
      <c r="F52" s="208"/>
      <c r="G52" s="21"/>
      <c r="H52" s="14"/>
      <c r="I52" s="14"/>
      <c r="J52" s="208"/>
      <c r="K52" s="21"/>
      <c r="L52" s="14"/>
      <c r="M52" s="14"/>
      <c r="N52" s="14"/>
      <c r="O52" s="21"/>
      <c r="P52" s="163"/>
      <c r="Q52" s="1"/>
      <c r="R52" s="2"/>
      <c r="S52" s="597"/>
      <c r="T52" s="609"/>
      <c r="U52" s="610"/>
      <c r="V52" s="611"/>
      <c r="W52" s="608"/>
      <c r="X52" s="608"/>
      <c r="Y52" s="608"/>
      <c r="Z52" s="599"/>
      <c r="AA52" s="576"/>
      <c r="AB52" s="2"/>
      <c r="AC52" s="623"/>
      <c r="AD52" s="609"/>
      <c r="AE52" s="610"/>
      <c r="AF52" s="611"/>
      <c r="AG52" s="608"/>
      <c r="AH52" s="608"/>
      <c r="AI52" s="608"/>
      <c r="AJ52" s="625"/>
      <c r="AK52" s="576"/>
    </row>
    <row r="53" spans="1:37" ht="12.4" customHeight="1" x14ac:dyDescent="0.2">
      <c r="A53" s="2"/>
      <c r="B53" s="162"/>
      <c r="C53" s="208"/>
      <c r="D53" s="21"/>
      <c r="E53" s="208"/>
      <c r="F53" s="208"/>
      <c r="G53" s="21"/>
      <c r="H53" s="14"/>
      <c r="I53" s="14"/>
      <c r="J53" s="208"/>
      <c r="K53" s="21"/>
      <c r="L53" s="14"/>
      <c r="M53" s="14"/>
      <c r="N53" s="14"/>
      <c r="O53" s="21"/>
      <c r="P53" s="163"/>
      <c r="Q53" s="1"/>
      <c r="R53" s="2"/>
      <c r="S53" s="597"/>
      <c r="T53" s="609"/>
      <c r="U53" s="610"/>
      <c r="V53" s="611"/>
      <c r="W53" s="608"/>
      <c r="X53" s="608"/>
      <c r="Y53" s="608"/>
      <c r="Z53" s="599"/>
      <c r="AA53" s="576"/>
      <c r="AB53" s="2"/>
      <c r="AC53" s="623"/>
      <c r="AD53" s="609"/>
      <c r="AE53" s="610"/>
      <c r="AF53" s="611"/>
      <c r="AG53" s="608"/>
      <c r="AH53" s="608"/>
      <c r="AI53" s="608"/>
      <c r="AJ53" s="625"/>
      <c r="AK53" s="576"/>
    </row>
    <row r="54" spans="1:37" ht="12.4" customHeight="1" x14ac:dyDescent="0.2">
      <c r="A54" s="2"/>
      <c r="B54" s="162"/>
      <c r="C54" s="33"/>
      <c r="D54" s="38"/>
      <c r="E54" s="33"/>
      <c r="F54" s="33"/>
      <c r="G54" s="38"/>
      <c r="H54" s="28"/>
      <c r="I54" s="28"/>
      <c r="J54" s="33"/>
      <c r="K54" s="38"/>
      <c r="L54" s="28"/>
      <c r="M54" s="28"/>
      <c r="N54" s="28"/>
      <c r="O54" s="38"/>
      <c r="P54" s="163"/>
      <c r="Q54" s="1"/>
      <c r="R54" s="2"/>
      <c r="S54" s="597"/>
      <c r="T54" s="609"/>
      <c r="U54" s="610"/>
      <c r="V54" s="611"/>
      <c r="W54" s="608"/>
      <c r="X54" s="608"/>
      <c r="Y54" s="608"/>
      <c r="Z54" s="599"/>
      <c r="AA54" s="576"/>
      <c r="AB54" s="2"/>
      <c r="AC54" s="623"/>
      <c r="AD54" s="609"/>
      <c r="AE54" s="610"/>
      <c r="AF54" s="611"/>
      <c r="AG54" s="608"/>
      <c r="AH54" s="608"/>
      <c r="AI54" s="608"/>
      <c r="AJ54" s="625"/>
      <c r="AK54" s="576"/>
    </row>
    <row r="55" spans="1:37" ht="5.0999999999999996" customHeight="1" x14ac:dyDescent="0.2">
      <c r="A55" s="2"/>
      <c r="B55" s="164"/>
      <c r="C55" s="166"/>
      <c r="D55" s="166"/>
      <c r="E55" s="166"/>
      <c r="F55" s="166"/>
      <c r="G55" s="166"/>
      <c r="H55" s="166"/>
      <c r="I55" s="166"/>
      <c r="J55" s="166"/>
      <c r="K55" s="166"/>
      <c r="L55" s="166"/>
      <c r="M55" s="166"/>
      <c r="N55" s="166"/>
      <c r="O55" s="166"/>
      <c r="P55" s="165"/>
      <c r="Q55" s="1"/>
      <c r="R55" s="2"/>
      <c r="S55" s="605"/>
      <c r="T55" s="606"/>
      <c r="U55" s="606"/>
      <c r="V55" s="606"/>
      <c r="W55" s="606"/>
      <c r="X55" s="606"/>
      <c r="Y55" s="606"/>
      <c r="Z55" s="604"/>
      <c r="AA55" s="576"/>
      <c r="AB55" s="2"/>
      <c r="AC55" s="632"/>
      <c r="AD55" s="633"/>
      <c r="AE55" s="633"/>
      <c r="AF55" s="633"/>
      <c r="AG55" s="633"/>
      <c r="AH55" s="633"/>
      <c r="AI55" s="633"/>
      <c r="AJ55" s="631"/>
      <c r="AK55" s="576"/>
    </row>
    <row r="56" spans="1:37" ht="5.0999999999999996" customHeight="1" x14ac:dyDescent="0.2">
      <c r="A56" s="15"/>
      <c r="B56" s="10"/>
      <c r="C56" s="10"/>
      <c r="D56" s="10"/>
      <c r="E56" s="10"/>
      <c r="F56" s="10"/>
      <c r="G56" s="10"/>
      <c r="H56" s="10"/>
      <c r="I56" s="10"/>
      <c r="J56" s="10"/>
      <c r="K56" s="10"/>
      <c r="L56" s="10"/>
      <c r="M56" s="10"/>
      <c r="N56" s="10"/>
      <c r="O56" s="10"/>
      <c r="P56" s="10"/>
      <c r="Q56" s="10"/>
      <c r="R56" s="15"/>
      <c r="S56" s="577"/>
      <c r="T56" s="577"/>
      <c r="U56" s="577"/>
      <c r="V56" s="577"/>
      <c r="W56" s="577"/>
      <c r="X56" s="577"/>
      <c r="Y56" s="577"/>
      <c r="Z56" s="577"/>
      <c r="AA56" s="578"/>
      <c r="AB56" s="15"/>
      <c r="AC56" s="577"/>
      <c r="AD56" s="577"/>
      <c r="AE56" s="577"/>
      <c r="AF56" s="577"/>
      <c r="AG56" s="577"/>
      <c r="AH56" s="577"/>
      <c r="AI56" s="577"/>
      <c r="AJ56" s="577"/>
      <c r="AK56" s="578"/>
    </row>
    <row r="57" spans="1:37" ht="5.0999999999999996" customHeight="1" x14ac:dyDescent="0.2">
      <c r="A57" s="8"/>
      <c r="B57" s="6"/>
      <c r="C57" s="6"/>
      <c r="D57" s="6"/>
      <c r="E57" s="6"/>
      <c r="F57" s="6"/>
      <c r="G57" s="6"/>
      <c r="H57" s="6"/>
      <c r="I57" s="6"/>
      <c r="J57" s="6"/>
      <c r="K57" s="6"/>
      <c r="L57" s="6"/>
      <c r="M57" s="6"/>
      <c r="N57" s="6"/>
      <c r="O57" s="6"/>
      <c r="P57" s="6"/>
      <c r="Q57" s="9"/>
      <c r="R57" s="1"/>
    </row>
    <row r="58" spans="1:37" ht="15.95" customHeight="1" x14ac:dyDescent="0.25">
      <c r="A58" s="192"/>
      <c r="B58" s="193"/>
      <c r="C58" s="194" t="s">
        <v>134</v>
      </c>
      <c r="D58" s="195"/>
      <c r="E58" s="195"/>
      <c r="F58" s="195"/>
      <c r="G58" s="195"/>
      <c r="H58" s="195"/>
      <c r="I58" s="196"/>
      <c r="J58" s="207" t="s">
        <v>139</v>
      </c>
      <c r="K58" s="206" t="s">
        <v>142</v>
      </c>
      <c r="L58" s="207" t="s">
        <v>140</v>
      </c>
      <c r="M58" s="206" t="s">
        <v>142</v>
      </c>
      <c r="N58" s="207" t="s">
        <v>141</v>
      </c>
      <c r="O58" s="206" t="s">
        <v>142</v>
      </c>
      <c r="P58" s="197"/>
      <c r="Q58" s="198"/>
      <c r="R58" s="579"/>
    </row>
    <row r="59" spans="1:37" ht="9.9499999999999993" customHeight="1" x14ac:dyDescent="0.2">
      <c r="A59" s="183"/>
      <c r="B59" s="184"/>
      <c r="C59" s="209" t="s">
        <v>147</v>
      </c>
      <c r="D59" s="210"/>
      <c r="E59" s="210"/>
      <c r="F59" s="210"/>
      <c r="G59" s="185"/>
      <c r="H59" s="520" t="s">
        <v>2229</v>
      </c>
      <c r="I59" s="519"/>
      <c r="J59" s="519"/>
      <c r="K59" s="518"/>
      <c r="L59" s="520" t="s">
        <v>2230</v>
      </c>
      <c r="M59" s="519"/>
      <c r="N59" s="188"/>
      <c r="O59" s="187"/>
      <c r="P59" s="189"/>
      <c r="Q59" s="190"/>
      <c r="R59" s="580"/>
    </row>
    <row r="60" spans="1:37" ht="12" customHeight="1" x14ac:dyDescent="0.2">
      <c r="A60" s="200"/>
      <c r="B60" s="201"/>
      <c r="C60" s="186" t="s">
        <v>135</v>
      </c>
      <c r="D60" s="186"/>
      <c r="E60" s="202" t="s">
        <v>123</v>
      </c>
      <c r="F60" s="186" t="s">
        <v>143</v>
      </c>
      <c r="G60" s="186"/>
      <c r="H60" s="186" t="s">
        <v>144</v>
      </c>
      <c r="I60" s="186"/>
      <c r="J60" s="186" t="s">
        <v>145</v>
      </c>
      <c r="K60" s="186"/>
      <c r="L60" s="186" t="s">
        <v>146</v>
      </c>
      <c r="M60" s="186"/>
      <c r="N60" s="186"/>
      <c r="O60" s="186"/>
      <c r="P60" s="203"/>
      <c r="Q60" s="204"/>
      <c r="R60" s="581"/>
    </row>
    <row r="61" spans="1:37" ht="12.6" customHeight="1" x14ac:dyDescent="0.2">
      <c r="A61" s="2"/>
      <c r="B61" s="162"/>
      <c r="C61" s="33"/>
      <c r="D61" s="38"/>
      <c r="E61" s="33"/>
      <c r="F61" s="33"/>
      <c r="G61" s="38"/>
      <c r="H61" s="28"/>
      <c r="I61" s="28"/>
      <c r="J61" s="33"/>
      <c r="K61" s="38"/>
      <c r="L61" s="28"/>
      <c r="M61" s="28"/>
      <c r="N61" s="28"/>
      <c r="O61" s="38"/>
      <c r="P61" s="163"/>
      <c r="Q61" s="3"/>
      <c r="R61" s="1"/>
    </row>
    <row r="62" spans="1:37" ht="12.6" customHeight="1" x14ac:dyDescent="0.2">
      <c r="A62" s="2"/>
      <c r="B62" s="162"/>
      <c r="C62" s="208"/>
      <c r="D62" s="21"/>
      <c r="E62" s="208"/>
      <c r="F62" s="208"/>
      <c r="G62" s="21"/>
      <c r="H62" s="28"/>
      <c r="I62" s="14"/>
      <c r="J62" s="33"/>
      <c r="K62" s="38"/>
      <c r="L62" s="28"/>
      <c r="M62" s="28"/>
      <c r="N62" s="28"/>
      <c r="O62" s="38"/>
      <c r="P62" s="163"/>
      <c r="Q62" s="3"/>
      <c r="R62" s="1"/>
    </row>
    <row r="63" spans="1:37" ht="12.6" customHeight="1" x14ac:dyDescent="0.2">
      <c r="A63" s="2"/>
      <c r="B63" s="162"/>
      <c r="C63" s="208"/>
      <c r="D63" s="21"/>
      <c r="E63" s="208"/>
      <c r="F63" s="208"/>
      <c r="G63" s="21"/>
      <c r="H63" s="28"/>
      <c r="I63" s="14"/>
      <c r="J63" s="33"/>
      <c r="K63" s="38"/>
      <c r="L63" s="28"/>
      <c r="M63" s="28"/>
      <c r="N63" s="28"/>
      <c r="O63" s="38"/>
      <c r="P63" s="163"/>
      <c r="Q63" s="3"/>
      <c r="R63" s="1"/>
    </row>
    <row r="64" spans="1:37" ht="12.6" customHeight="1" x14ac:dyDescent="0.2">
      <c r="A64" s="2"/>
      <c r="B64" s="162"/>
      <c r="C64" s="208"/>
      <c r="D64" s="21"/>
      <c r="E64" s="208"/>
      <c r="F64" s="208"/>
      <c r="G64" s="21"/>
      <c r="H64" s="14"/>
      <c r="I64" s="14"/>
      <c r="J64" s="208"/>
      <c r="K64" s="21"/>
      <c r="L64" s="14"/>
      <c r="M64" s="14"/>
      <c r="N64" s="14"/>
      <c r="O64" s="21"/>
      <c r="P64" s="163"/>
      <c r="Q64" s="3"/>
      <c r="R64" s="1"/>
    </row>
    <row r="65" spans="1:18" ht="12.6" customHeight="1" x14ac:dyDescent="0.2">
      <c r="A65" s="2"/>
      <c r="B65" s="162"/>
      <c r="C65" s="208"/>
      <c r="D65" s="21"/>
      <c r="E65" s="208"/>
      <c r="F65" s="208"/>
      <c r="G65" s="21"/>
      <c r="H65" s="14"/>
      <c r="I65" s="14"/>
      <c r="J65" s="208"/>
      <c r="K65" s="21"/>
      <c r="L65" s="14"/>
      <c r="M65" s="14"/>
      <c r="N65" s="14"/>
      <c r="O65" s="21"/>
      <c r="P65" s="163"/>
      <c r="Q65" s="3"/>
      <c r="R65" s="1"/>
    </row>
    <row r="66" spans="1:18" ht="12.6" customHeight="1" x14ac:dyDescent="0.2">
      <c r="A66" s="2"/>
      <c r="B66" s="162"/>
      <c r="C66" s="33"/>
      <c r="D66" s="38"/>
      <c r="E66" s="33"/>
      <c r="F66" s="33"/>
      <c r="G66" s="38"/>
      <c r="H66" s="28"/>
      <c r="I66" s="28"/>
      <c r="J66" s="33"/>
      <c r="K66" s="38"/>
      <c r="L66" s="28"/>
      <c r="M66" s="28"/>
      <c r="N66" s="28"/>
      <c r="O66" s="38"/>
      <c r="P66" s="163"/>
      <c r="Q66" s="3"/>
      <c r="R66" s="1"/>
    </row>
    <row r="67" spans="1:18" ht="12.6" customHeight="1" x14ac:dyDescent="0.2">
      <c r="A67" s="2"/>
      <c r="B67" s="162"/>
      <c r="C67" s="208"/>
      <c r="D67" s="21"/>
      <c r="E67" s="208"/>
      <c r="F67" s="208"/>
      <c r="G67" s="21"/>
      <c r="H67" s="28"/>
      <c r="I67" s="14"/>
      <c r="J67" s="33"/>
      <c r="K67" s="38"/>
      <c r="L67" s="28"/>
      <c r="M67" s="28"/>
      <c r="N67" s="28"/>
      <c r="O67" s="38"/>
      <c r="P67" s="163"/>
      <c r="Q67" s="3"/>
      <c r="R67" s="1"/>
    </row>
    <row r="68" spans="1:18" ht="12.6" customHeight="1" x14ac:dyDescent="0.2">
      <c r="A68" s="2"/>
      <c r="B68" s="162"/>
      <c r="C68" s="208"/>
      <c r="D68" s="21"/>
      <c r="E68" s="208"/>
      <c r="F68" s="208"/>
      <c r="G68" s="21"/>
      <c r="H68" s="14"/>
      <c r="I68" s="14"/>
      <c r="J68" s="208"/>
      <c r="K68" s="21"/>
      <c r="L68" s="14"/>
      <c r="M68" s="14"/>
      <c r="N68" s="14"/>
      <c r="O68" s="21"/>
      <c r="P68" s="163"/>
      <c r="Q68" s="3"/>
      <c r="R68" s="1"/>
    </row>
    <row r="69" spans="1:18" ht="12.6" customHeight="1" x14ac:dyDescent="0.2">
      <c r="A69" s="2"/>
      <c r="B69" s="162"/>
      <c r="C69" s="33"/>
      <c r="D69" s="38"/>
      <c r="E69" s="33"/>
      <c r="F69" s="33"/>
      <c r="G69" s="38"/>
      <c r="H69" s="28"/>
      <c r="I69" s="28"/>
      <c r="J69" s="33"/>
      <c r="K69" s="38"/>
      <c r="L69" s="28"/>
      <c r="M69" s="28"/>
      <c r="N69" s="28"/>
      <c r="O69" s="38"/>
      <c r="P69" s="163"/>
      <c r="Q69" s="3"/>
      <c r="R69" s="1"/>
    </row>
    <row r="70" spans="1:18" ht="12.6" customHeight="1" x14ac:dyDescent="0.2">
      <c r="A70" s="2"/>
      <c r="B70" s="162"/>
      <c r="C70" s="208"/>
      <c r="D70" s="21"/>
      <c r="E70" s="208"/>
      <c r="F70" s="208"/>
      <c r="G70" s="21"/>
      <c r="H70" s="28"/>
      <c r="I70" s="14"/>
      <c r="J70" s="33"/>
      <c r="K70" s="38"/>
      <c r="L70" s="28"/>
      <c r="M70" s="28"/>
      <c r="N70" s="28"/>
      <c r="O70" s="38"/>
      <c r="P70" s="163"/>
      <c r="Q70" s="3"/>
      <c r="R70" s="1"/>
    </row>
    <row r="71" spans="1:18" ht="12.6" customHeight="1" x14ac:dyDescent="0.2">
      <c r="A71" s="2"/>
      <c r="B71" s="162"/>
      <c r="C71" s="208"/>
      <c r="D71" s="21"/>
      <c r="E71" s="208"/>
      <c r="F71" s="208"/>
      <c r="G71" s="21"/>
      <c r="H71" s="14"/>
      <c r="I71" s="14"/>
      <c r="J71" s="208"/>
      <c r="K71" s="21"/>
      <c r="L71" s="14"/>
      <c r="M71" s="14"/>
      <c r="N71" s="14"/>
      <c r="O71" s="21"/>
      <c r="P71" s="163"/>
      <c r="Q71" s="3"/>
      <c r="R71" s="1"/>
    </row>
    <row r="72" spans="1:18" ht="12.6" customHeight="1" x14ac:dyDescent="0.2">
      <c r="A72" s="2"/>
      <c r="B72" s="162"/>
      <c r="C72" s="208"/>
      <c r="D72" s="21"/>
      <c r="E72" s="208"/>
      <c r="F72" s="208"/>
      <c r="G72" s="21"/>
      <c r="H72" s="14"/>
      <c r="I72" s="14"/>
      <c r="J72" s="208"/>
      <c r="K72" s="21"/>
      <c r="L72" s="14"/>
      <c r="M72" s="14"/>
      <c r="N72" s="14"/>
      <c r="O72" s="21"/>
      <c r="P72" s="163"/>
      <c r="Q72" s="3"/>
      <c r="R72" s="1"/>
    </row>
    <row r="73" spans="1:18" ht="12.6" customHeight="1" x14ac:dyDescent="0.2">
      <c r="A73" s="2"/>
      <c r="B73" s="162"/>
      <c r="C73" s="33"/>
      <c r="D73" s="38"/>
      <c r="E73" s="33"/>
      <c r="F73" s="33"/>
      <c r="G73" s="38"/>
      <c r="H73" s="28"/>
      <c r="I73" s="28"/>
      <c r="J73" s="33"/>
      <c r="K73" s="38"/>
      <c r="L73" s="28"/>
      <c r="M73" s="28"/>
      <c r="N73" s="28"/>
      <c r="O73" s="38"/>
      <c r="P73" s="163"/>
      <c r="Q73" s="3"/>
      <c r="R73" s="1"/>
    </row>
    <row r="74" spans="1:18" ht="12.6" customHeight="1" x14ac:dyDescent="0.2">
      <c r="A74" s="2"/>
      <c r="B74" s="162"/>
      <c r="C74" s="208"/>
      <c r="D74" s="21"/>
      <c r="E74" s="208"/>
      <c r="F74" s="208"/>
      <c r="G74" s="21"/>
      <c r="H74" s="28"/>
      <c r="I74" s="14"/>
      <c r="J74" s="33"/>
      <c r="K74" s="38"/>
      <c r="L74" s="28"/>
      <c r="M74" s="28"/>
      <c r="N74" s="28"/>
      <c r="O74" s="38"/>
      <c r="P74" s="163"/>
      <c r="Q74" s="3"/>
      <c r="R74" s="1"/>
    </row>
    <row r="75" spans="1:18" ht="12.6" customHeight="1" x14ac:dyDescent="0.2">
      <c r="A75" s="2"/>
      <c r="B75" s="162"/>
      <c r="C75" s="208"/>
      <c r="D75" s="21"/>
      <c r="E75" s="208"/>
      <c r="F75" s="208"/>
      <c r="G75" s="21"/>
      <c r="H75" s="14"/>
      <c r="I75" s="14"/>
      <c r="J75" s="208"/>
      <c r="K75" s="21"/>
      <c r="L75" s="14"/>
      <c r="M75" s="14"/>
      <c r="N75" s="14"/>
      <c r="O75" s="21"/>
      <c r="P75" s="163"/>
      <c r="Q75" s="3"/>
      <c r="R75" s="1"/>
    </row>
    <row r="76" spans="1:18" ht="12.6" customHeight="1" x14ac:dyDescent="0.2">
      <c r="A76" s="2"/>
      <c r="B76" s="162"/>
      <c r="C76" s="33"/>
      <c r="D76" s="38"/>
      <c r="E76" s="33"/>
      <c r="F76" s="33"/>
      <c r="G76" s="38"/>
      <c r="H76" s="28"/>
      <c r="I76" s="28"/>
      <c r="J76" s="33"/>
      <c r="K76" s="38"/>
      <c r="L76" s="28"/>
      <c r="M76" s="28"/>
      <c r="N76" s="28"/>
      <c r="O76" s="38"/>
      <c r="P76" s="163"/>
      <c r="Q76" s="3"/>
      <c r="R76" s="1"/>
    </row>
    <row r="77" spans="1:18" ht="12.6" customHeight="1" x14ac:dyDescent="0.2">
      <c r="A77" s="2"/>
      <c r="B77" s="162"/>
      <c r="C77" s="208"/>
      <c r="D77" s="21"/>
      <c r="E77" s="208"/>
      <c r="F77" s="208"/>
      <c r="G77" s="21"/>
      <c r="H77" s="28"/>
      <c r="I77" s="14"/>
      <c r="J77" s="33"/>
      <c r="K77" s="38"/>
      <c r="L77" s="28"/>
      <c r="M77" s="28"/>
      <c r="N77" s="28"/>
      <c r="O77" s="38"/>
      <c r="P77" s="163"/>
      <c r="Q77" s="3"/>
      <c r="R77" s="1"/>
    </row>
    <row r="78" spans="1:18" ht="12.6" customHeight="1" x14ac:dyDescent="0.2">
      <c r="A78" s="2"/>
      <c r="B78" s="162"/>
      <c r="C78" s="208"/>
      <c r="D78" s="21"/>
      <c r="E78" s="208"/>
      <c r="F78" s="208"/>
      <c r="G78" s="21"/>
      <c r="H78" s="14"/>
      <c r="I78" s="14"/>
      <c r="J78" s="208"/>
      <c r="K78" s="21"/>
      <c r="L78" s="14"/>
      <c r="M78" s="14"/>
      <c r="N78" s="14"/>
      <c r="O78" s="21"/>
      <c r="P78" s="163"/>
      <c r="Q78" s="3"/>
      <c r="R78" s="1"/>
    </row>
    <row r="79" spans="1:18" ht="12.6" customHeight="1" x14ac:dyDescent="0.2">
      <c r="A79" s="2"/>
      <c r="B79" s="162"/>
      <c r="C79" s="208"/>
      <c r="D79" s="21"/>
      <c r="E79" s="208"/>
      <c r="F79" s="208"/>
      <c r="G79" s="21"/>
      <c r="H79" s="14"/>
      <c r="I79" s="14"/>
      <c r="J79" s="208"/>
      <c r="K79" s="21"/>
      <c r="L79" s="14"/>
      <c r="M79" s="14"/>
      <c r="N79" s="14"/>
      <c r="O79" s="21"/>
      <c r="P79" s="163"/>
      <c r="Q79" s="3"/>
      <c r="R79" s="1"/>
    </row>
    <row r="80" spans="1:18" ht="12.6" customHeight="1" x14ac:dyDescent="0.2">
      <c r="A80" s="2"/>
      <c r="B80" s="162"/>
      <c r="C80" s="33"/>
      <c r="D80" s="38"/>
      <c r="E80" s="33"/>
      <c r="F80" s="33"/>
      <c r="G80" s="38"/>
      <c r="H80" s="28"/>
      <c r="I80" s="28"/>
      <c r="J80" s="33"/>
      <c r="K80" s="38"/>
      <c r="L80" s="28"/>
      <c r="M80" s="28"/>
      <c r="N80" s="28"/>
      <c r="O80" s="38"/>
      <c r="P80" s="163"/>
      <c r="Q80" s="3"/>
      <c r="R80" s="1"/>
    </row>
    <row r="81" spans="1:18" ht="12.6" customHeight="1" x14ac:dyDescent="0.2">
      <c r="A81" s="2"/>
      <c r="B81" s="162"/>
      <c r="C81" s="208"/>
      <c r="D81" s="21"/>
      <c r="E81" s="208"/>
      <c r="F81" s="208"/>
      <c r="G81" s="21"/>
      <c r="H81" s="28"/>
      <c r="I81" s="14"/>
      <c r="J81" s="33"/>
      <c r="K81" s="38"/>
      <c r="L81" s="28"/>
      <c r="M81" s="28"/>
      <c r="N81" s="28"/>
      <c r="O81" s="38"/>
      <c r="P81" s="163"/>
      <c r="Q81" s="3"/>
      <c r="R81" s="1"/>
    </row>
    <row r="82" spans="1:18" ht="12.6" customHeight="1" x14ac:dyDescent="0.2">
      <c r="A82" s="2"/>
      <c r="B82" s="162"/>
      <c r="C82" s="208"/>
      <c r="D82" s="21"/>
      <c r="E82" s="208"/>
      <c r="F82" s="208"/>
      <c r="G82" s="21"/>
      <c r="H82" s="14"/>
      <c r="I82" s="14"/>
      <c r="J82" s="208"/>
      <c r="K82" s="21"/>
      <c r="L82" s="14"/>
      <c r="M82" s="14"/>
      <c r="N82" s="14"/>
      <c r="O82" s="21"/>
      <c r="P82" s="163"/>
      <c r="Q82" s="3"/>
      <c r="R82" s="1"/>
    </row>
    <row r="83" spans="1:18" ht="12.6" customHeight="1" x14ac:dyDescent="0.2">
      <c r="A83" s="2"/>
      <c r="B83" s="162"/>
      <c r="C83" s="33"/>
      <c r="D83" s="38"/>
      <c r="E83" s="33"/>
      <c r="F83" s="33"/>
      <c r="G83" s="38"/>
      <c r="H83" s="28"/>
      <c r="I83" s="28"/>
      <c r="J83" s="33"/>
      <c r="K83" s="38"/>
      <c r="L83" s="28"/>
      <c r="M83" s="28"/>
      <c r="N83" s="28"/>
      <c r="O83" s="38"/>
      <c r="P83" s="163"/>
      <c r="Q83" s="3"/>
      <c r="R83" s="1"/>
    </row>
    <row r="84" spans="1:18" ht="12.6" customHeight="1" x14ac:dyDescent="0.2">
      <c r="A84" s="2"/>
      <c r="B84" s="162"/>
      <c r="C84" s="208"/>
      <c r="D84" s="21"/>
      <c r="E84" s="208"/>
      <c r="F84" s="208"/>
      <c r="G84" s="21"/>
      <c r="H84" s="28"/>
      <c r="I84" s="14"/>
      <c r="J84" s="33"/>
      <c r="K84" s="38"/>
      <c r="L84" s="28"/>
      <c r="M84" s="28"/>
      <c r="N84" s="28"/>
      <c r="O84" s="38"/>
      <c r="P84" s="163"/>
      <c r="Q84" s="3"/>
      <c r="R84" s="1"/>
    </row>
    <row r="85" spans="1:18" ht="12.6" customHeight="1" x14ac:dyDescent="0.2">
      <c r="A85" s="2"/>
      <c r="B85" s="162"/>
      <c r="C85" s="208"/>
      <c r="D85" s="21"/>
      <c r="E85" s="208"/>
      <c r="F85" s="208"/>
      <c r="G85" s="21"/>
      <c r="H85" s="14"/>
      <c r="I85" s="14"/>
      <c r="J85" s="208"/>
      <c r="K85" s="21"/>
      <c r="L85" s="14"/>
      <c r="M85" s="14"/>
      <c r="N85" s="14"/>
      <c r="O85" s="21"/>
      <c r="P85" s="163"/>
      <c r="Q85" s="3"/>
      <c r="R85" s="1"/>
    </row>
    <row r="86" spans="1:18" ht="12.6" customHeight="1" x14ac:dyDescent="0.2">
      <c r="A86" s="2"/>
      <c r="B86" s="162"/>
      <c r="C86" s="208"/>
      <c r="D86" s="21"/>
      <c r="E86" s="208"/>
      <c r="F86" s="208"/>
      <c r="G86" s="21"/>
      <c r="H86" s="14"/>
      <c r="I86" s="14"/>
      <c r="J86" s="208"/>
      <c r="K86" s="21"/>
      <c r="L86" s="14"/>
      <c r="M86" s="14"/>
      <c r="N86" s="14"/>
      <c r="O86" s="21"/>
      <c r="P86" s="163"/>
      <c r="Q86" s="3"/>
      <c r="R86" s="1"/>
    </row>
    <row r="87" spans="1:18" ht="12.6" customHeight="1" x14ac:dyDescent="0.2">
      <c r="A87" s="2"/>
      <c r="B87" s="162"/>
      <c r="C87" s="33"/>
      <c r="D87" s="38"/>
      <c r="E87" s="33"/>
      <c r="F87" s="33"/>
      <c r="G87" s="38"/>
      <c r="H87" s="28"/>
      <c r="I87" s="28"/>
      <c r="J87" s="33"/>
      <c r="K87" s="38"/>
      <c r="L87" s="28"/>
      <c r="M87" s="28"/>
      <c r="N87" s="28"/>
      <c r="O87" s="38"/>
      <c r="P87" s="163"/>
      <c r="Q87" s="3"/>
      <c r="R87" s="1"/>
    </row>
    <row r="88" spans="1:18" ht="12.6" customHeight="1" x14ac:dyDescent="0.2">
      <c r="A88" s="2"/>
      <c r="B88" s="162"/>
      <c r="C88" s="208"/>
      <c r="D88" s="21"/>
      <c r="E88" s="208"/>
      <c r="F88" s="208"/>
      <c r="G88" s="21"/>
      <c r="H88" s="28"/>
      <c r="I88" s="14"/>
      <c r="J88" s="33"/>
      <c r="K88" s="38"/>
      <c r="L88" s="28"/>
      <c r="M88" s="28"/>
      <c r="N88" s="28"/>
      <c r="O88" s="38"/>
      <c r="P88" s="163"/>
      <c r="Q88" s="3"/>
      <c r="R88" s="1"/>
    </row>
    <row r="89" spans="1:18" ht="12.6" customHeight="1" x14ac:dyDescent="0.2">
      <c r="A89" s="2"/>
      <c r="B89" s="162"/>
      <c r="C89" s="33"/>
      <c r="D89" s="38"/>
      <c r="E89" s="33"/>
      <c r="F89" s="33"/>
      <c r="G89" s="38"/>
      <c r="H89" s="28"/>
      <c r="I89" s="28"/>
      <c r="J89" s="33"/>
      <c r="K89" s="38"/>
      <c r="L89" s="28"/>
      <c r="M89" s="28"/>
      <c r="N89" s="28"/>
      <c r="O89" s="38"/>
      <c r="P89" s="163"/>
      <c r="Q89" s="3"/>
      <c r="R89" s="1"/>
    </row>
    <row r="90" spans="1:18" ht="12.6" customHeight="1" x14ac:dyDescent="0.2">
      <c r="A90" s="2"/>
      <c r="B90" s="162"/>
      <c r="C90" s="208"/>
      <c r="D90" s="21"/>
      <c r="E90" s="208"/>
      <c r="F90" s="208"/>
      <c r="G90" s="21"/>
      <c r="H90" s="28"/>
      <c r="I90" s="14"/>
      <c r="J90" s="33"/>
      <c r="K90" s="38"/>
      <c r="L90" s="28"/>
      <c r="M90" s="28"/>
      <c r="N90" s="28"/>
      <c r="O90" s="38"/>
      <c r="P90" s="163"/>
      <c r="Q90" s="3"/>
      <c r="R90" s="1"/>
    </row>
    <row r="91" spans="1:18" ht="12.6" customHeight="1" x14ac:dyDescent="0.2">
      <c r="A91" s="2"/>
      <c r="B91" s="162"/>
      <c r="C91" s="208"/>
      <c r="D91" s="21"/>
      <c r="E91" s="208"/>
      <c r="F91" s="208"/>
      <c r="G91" s="21"/>
      <c r="H91" s="14"/>
      <c r="I91" s="14"/>
      <c r="J91" s="208"/>
      <c r="K91" s="21"/>
      <c r="L91" s="14"/>
      <c r="M91" s="14"/>
      <c r="N91" s="14"/>
      <c r="O91" s="21"/>
      <c r="P91" s="163"/>
      <c r="Q91" s="3"/>
      <c r="R91" s="1"/>
    </row>
    <row r="92" spans="1:18" ht="12.6" customHeight="1" x14ac:dyDescent="0.2">
      <c r="A92" s="2"/>
      <c r="B92" s="162"/>
      <c r="C92" s="208"/>
      <c r="D92" s="21"/>
      <c r="E92" s="208"/>
      <c r="F92" s="208"/>
      <c r="G92" s="21"/>
      <c r="H92" s="14"/>
      <c r="I92" s="14"/>
      <c r="J92" s="208"/>
      <c r="K92" s="21"/>
      <c r="L92" s="14"/>
      <c r="M92" s="14"/>
      <c r="N92" s="14"/>
      <c r="O92" s="21"/>
      <c r="P92" s="163"/>
      <c r="Q92" s="3"/>
      <c r="R92" s="1"/>
    </row>
    <row r="93" spans="1:18" ht="12.6" customHeight="1" x14ac:dyDescent="0.2">
      <c r="A93" s="2"/>
      <c r="B93" s="162"/>
      <c r="C93" s="33"/>
      <c r="D93" s="38"/>
      <c r="E93" s="33"/>
      <c r="F93" s="33"/>
      <c r="G93" s="38"/>
      <c r="H93" s="28"/>
      <c r="I93" s="28"/>
      <c r="J93" s="33"/>
      <c r="K93" s="38"/>
      <c r="L93" s="28"/>
      <c r="M93" s="28"/>
      <c r="N93" s="28"/>
      <c r="O93" s="38"/>
      <c r="P93" s="163"/>
      <c r="Q93" s="3"/>
      <c r="R93" s="1"/>
    </row>
    <row r="94" spans="1:18" ht="12.6" customHeight="1" x14ac:dyDescent="0.2">
      <c r="A94" s="2"/>
      <c r="B94" s="162"/>
      <c r="C94" s="208"/>
      <c r="D94" s="21"/>
      <c r="E94" s="208"/>
      <c r="F94" s="208"/>
      <c r="G94" s="21"/>
      <c r="H94" s="28"/>
      <c r="I94" s="14"/>
      <c r="J94" s="33"/>
      <c r="K94" s="38"/>
      <c r="L94" s="28"/>
      <c r="M94" s="28"/>
      <c r="N94" s="28"/>
      <c r="O94" s="38"/>
      <c r="P94" s="163"/>
      <c r="Q94" s="3"/>
      <c r="R94" s="1"/>
    </row>
    <row r="95" spans="1:18" ht="12.6" customHeight="1" x14ac:dyDescent="0.2">
      <c r="A95" s="2"/>
      <c r="B95" s="162"/>
      <c r="C95" s="208"/>
      <c r="D95" s="21"/>
      <c r="E95" s="208"/>
      <c r="F95" s="208"/>
      <c r="G95" s="21"/>
      <c r="H95" s="14"/>
      <c r="I95" s="14"/>
      <c r="J95" s="208"/>
      <c r="K95" s="21"/>
      <c r="L95" s="14"/>
      <c r="M95" s="14"/>
      <c r="N95" s="14"/>
      <c r="O95" s="21"/>
      <c r="P95" s="163"/>
      <c r="Q95" s="3"/>
      <c r="R95" s="1"/>
    </row>
    <row r="96" spans="1:18" ht="12.6" customHeight="1" x14ac:dyDescent="0.2">
      <c r="A96" s="2"/>
      <c r="B96" s="162"/>
      <c r="C96" s="33"/>
      <c r="D96" s="38"/>
      <c r="E96" s="33"/>
      <c r="F96" s="33"/>
      <c r="G96" s="38"/>
      <c r="H96" s="28"/>
      <c r="I96" s="28"/>
      <c r="J96" s="33"/>
      <c r="K96" s="38"/>
      <c r="L96" s="28"/>
      <c r="M96" s="28"/>
      <c r="N96" s="28"/>
      <c r="O96" s="38"/>
      <c r="P96" s="163"/>
      <c r="Q96" s="3"/>
      <c r="R96" s="1"/>
    </row>
    <row r="97" spans="1:18" ht="12.6" customHeight="1" x14ac:dyDescent="0.2">
      <c r="A97" s="2"/>
      <c r="B97" s="162"/>
      <c r="C97" s="208"/>
      <c r="D97" s="21"/>
      <c r="E97" s="208"/>
      <c r="F97" s="208"/>
      <c r="G97" s="21"/>
      <c r="H97" s="28"/>
      <c r="I97" s="14"/>
      <c r="J97" s="33"/>
      <c r="K97" s="38"/>
      <c r="L97" s="28"/>
      <c r="M97" s="28"/>
      <c r="N97" s="28"/>
      <c r="O97" s="38"/>
      <c r="P97" s="163"/>
      <c r="Q97" s="3"/>
      <c r="R97" s="1"/>
    </row>
    <row r="98" spans="1:18" ht="12.6" customHeight="1" x14ac:dyDescent="0.2">
      <c r="A98" s="2"/>
      <c r="B98" s="162"/>
      <c r="C98" s="208"/>
      <c r="D98" s="21"/>
      <c r="E98" s="208"/>
      <c r="F98" s="208"/>
      <c r="G98" s="21"/>
      <c r="H98" s="14"/>
      <c r="I98" s="14"/>
      <c r="J98" s="208"/>
      <c r="K98" s="21"/>
      <c r="L98" s="14"/>
      <c r="M98" s="14"/>
      <c r="N98" s="14"/>
      <c r="O98" s="21"/>
      <c r="P98" s="163"/>
      <c r="Q98" s="3"/>
      <c r="R98" s="1"/>
    </row>
    <row r="99" spans="1:18" ht="12.6" customHeight="1" x14ac:dyDescent="0.2">
      <c r="A99" s="2"/>
      <c r="B99" s="162"/>
      <c r="C99" s="208"/>
      <c r="D99" s="21"/>
      <c r="E99" s="208"/>
      <c r="F99" s="208"/>
      <c r="G99" s="21"/>
      <c r="H99" s="14"/>
      <c r="I99" s="14"/>
      <c r="J99" s="208"/>
      <c r="K99" s="21"/>
      <c r="L99" s="14"/>
      <c r="M99" s="14"/>
      <c r="N99" s="14"/>
      <c r="O99" s="21"/>
      <c r="P99" s="163"/>
      <c r="Q99" s="3"/>
      <c r="R99" s="1"/>
    </row>
    <row r="100" spans="1:18" ht="12.6" customHeight="1" x14ac:dyDescent="0.2">
      <c r="A100" s="2"/>
      <c r="B100" s="162"/>
      <c r="C100" s="208"/>
      <c r="D100" s="21"/>
      <c r="E100" s="208"/>
      <c r="F100" s="208"/>
      <c r="G100" s="21"/>
      <c r="H100" s="14"/>
      <c r="I100" s="14"/>
      <c r="J100" s="208"/>
      <c r="K100" s="21"/>
      <c r="L100" s="14"/>
      <c r="M100" s="14"/>
      <c r="N100" s="14"/>
      <c r="O100" s="21"/>
      <c r="P100" s="163"/>
      <c r="Q100" s="3"/>
      <c r="R100" s="1"/>
    </row>
    <row r="101" spans="1:18" ht="12.6" customHeight="1" x14ac:dyDescent="0.2">
      <c r="A101" s="2"/>
      <c r="B101" s="162"/>
      <c r="C101" s="33"/>
      <c r="D101" s="38"/>
      <c r="E101" s="33"/>
      <c r="F101" s="33"/>
      <c r="G101" s="38"/>
      <c r="H101" s="28"/>
      <c r="I101" s="28"/>
      <c r="J101" s="33"/>
      <c r="K101" s="38"/>
      <c r="L101" s="28"/>
      <c r="M101" s="28"/>
      <c r="N101" s="28"/>
      <c r="O101" s="38"/>
      <c r="P101" s="163"/>
      <c r="Q101" s="3"/>
      <c r="R101" s="1"/>
    </row>
    <row r="102" spans="1:18" ht="12.6" customHeight="1" x14ac:dyDescent="0.2">
      <c r="A102" s="2"/>
      <c r="B102" s="162"/>
      <c r="C102" s="208"/>
      <c r="D102" s="21"/>
      <c r="E102" s="208"/>
      <c r="F102" s="208"/>
      <c r="G102" s="21"/>
      <c r="H102" s="28"/>
      <c r="I102" s="14"/>
      <c r="J102" s="33"/>
      <c r="K102" s="38"/>
      <c r="L102" s="28"/>
      <c r="M102" s="28"/>
      <c r="N102" s="28"/>
      <c r="O102" s="38"/>
      <c r="P102" s="163"/>
      <c r="Q102" s="3"/>
      <c r="R102" s="1"/>
    </row>
    <row r="103" spans="1:18" ht="12.6" customHeight="1" x14ac:dyDescent="0.2">
      <c r="A103" s="2"/>
      <c r="B103" s="162"/>
      <c r="C103" s="33"/>
      <c r="D103" s="38"/>
      <c r="E103" s="33"/>
      <c r="F103" s="33"/>
      <c r="G103" s="38"/>
      <c r="H103" s="28"/>
      <c r="I103" s="28"/>
      <c r="J103" s="33"/>
      <c r="K103" s="38"/>
      <c r="L103" s="28"/>
      <c r="M103" s="28"/>
      <c r="N103" s="28"/>
      <c r="O103" s="38"/>
      <c r="P103" s="163"/>
      <c r="Q103" s="3"/>
      <c r="R103" s="1"/>
    </row>
    <row r="104" spans="1:18" ht="12.6" customHeight="1" x14ac:dyDescent="0.2">
      <c r="A104" s="2"/>
      <c r="B104" s="162"/>
      <c r="C104" s="208"/>
      <c r="D104" s="21"/>
      <c r="E104" s="208"/>
      <c r="F104" s="208"/>
      <c r="G104" s="21"/>
      <c r="H104" s="28"/>
      <c r="I104" s="14"/>
      <c r="J104" s="33"/>
      <c r="K104" s="38"/>
      <c r="L104" s="28"/>
      <c r="M104" s="28"/>
      <c r="N104" s="28"/>
      <c r="O104" s="38"/>
      <c r="P104" s="163"/>
      <c r="Q104" s="3"/>
      <c r="R104" s="1"/>
    </row>
    <row r="105" spans="1:18" ht="12.6" customHeight="1" x14ac:dyDescent="0.2">
      <c r="A105" s="2"/>
      <c r="B105" s="162"/>
      <c r="C105" s="208"/>
      <c r="D105" s="21"/>
      <c r="E105" s="208"/>
      <c r="F105" s="208"/>
      <c r="G105" s="21"/>
      <c r="H105" s="28"/>
      <c r="I105" s="14"/>
      <c r="J105" s="33"/>
      <c r="K105" s="38"/>
      <c r="L105" s="28"/>
      <c r="M105" s="28"/>
      <c r="N105" s="28"/>
      <c r="O105" s="38"/>
      <c r="P105" s="163"/>
      <c r="Q105" s="3"/>
      <c r="R105" s="1"/>
    </row>
    <row r="106" spans="1:18" ht="12.6" customHeight="1" x14ac:dyDescent="0.2">
      <c r="A106" s="2"/>
      <c r="B106" s="162"/>
      <c r="C106" s="208"/>
      <c r="D106" s="21"/>
      <c r="E106" s="208"/>
      <c r="F106" s="208"/>
      <c r="G106" s="21"/>
      <c r="H106" s="28"/>
      <c r="I106" s="14"/>
      <c r="J106" s="33"/>
      <c r="K106" s="38"/>
      <c r="L106" s="28"/>
      <c r="M106" s="28"/>
      <c r="N106" s="28"/>
      <c r="O106" s="38"/>
      <c r="P106" s="163"/>
      <c r="Q106" s="3"/>
      <c r="R106" s="1"/>
    </row>
    <row r="107" spans="1:18" ht="12.6" customHeight="1" x14ac:dyDescent="0.2">
      <c r="A107" s="2"/>
      <c r="B107" s="162"/>
      <c r="C107" s="208"/>
      <c r="D107" s="21"/>
      <c r="E107" s="208"/>
      <c r="F107" s="208"/>
      <c r="G107" s="21"/>
      <c r="H107" s="28"/>
      <c r="I107" s="14"/>
      <c r="J107" s="33"/>
      <c r="K107" s="38"/>
      <c r="L107" s="28"/>
      <c r="M107" s="28"/>
      <c r="N107" s="28"/>
      <c r="O107" s="38"/>
      <c r="P107" s="163"/>
      <c r="Q107" s="3"/>
      <c r="R107" s="1"/>
    </row>
    <row r="108" spans="1:18" ht="12.6" customHeight="1" x14ac:dyDescent="0.2">
      <c r="A108" s="2"/>
      <c r="B108" s="162"/>
      <c r="C108" s="208"/>
      <c r="D108" s="21"/>
      <c r="E108" s="208"/>
      <c r="F108" s="208"/>
      <c r="G108" s="21"/>
      <c r="H108" s="14"/>
      <c r="I108" s="14"/>
      <c r="J108" s="208"/>
      <c r="K108" s="21"/>
      <c r="L108" s="14"/>
      <c r="M108" s="14"/>
      <c r="N108" s="14"/>
      <c r="O108" s="21"/>
      <c r="P108" s="163"/>
      <c r="Q108" s="3"/>
      <c r="R108" s="1"/>
    </row>
    <row r="109" spans="1:18" ht="12.6" customHeight="1" x14ac:dyDescent="0.2">
      <c r="A109" s="2"/>
      <c r="B109" s="162"/>
      <c r="C109" s="208"/>
      <c r="D109" s="21"/>
      <c r="E109" s="208"/>
      <c r="F109" s="208"/>
      <c r="G109" s="21"/>
      <c r="H109" s="14"/>
      <c r="I109" s="14"/>
      <c r="J109" s="208"/>
      <c r="K109" s="21"/>
      <c r="L109" s="14"/>
      <c r="M109" s="14"/>
      <c r="N109" s="14"/>
      <c r="O109" s="21"/>
      <c r="P109" s="163"/>
      <c r="Q109" s="3"/>
      <c r="R109" s="1"/>
    </row>
    <row r="110" spans="1:18" ht="12" customHeight="1" x14ac:dyDescent="0.2">
      <c r="A110" s="2"/>
      <c r="B110" s="162"/>
      <c r="C110" s="33"/>
      <c r="D110" s="38"/>
      <c r="E110" s="33"/>
      <c r="F110" s="33"/>
      <c r="G110" s="38"/>
      <c r="H110" s="28"/>
      <c r="I110" s="28"/>
      <c r="J110" s="33"/>
      <c r="K110" s="38"/>
      <c r="L110" s="28"/>
      <c r="M110" s="28"/>
      <c r="N110" s="28"/>
      <c r="O110" s="38"/>
      <c r="P110" s="163"/>
      <c r="Q110" s="3"/>
      <c r="R110" s="1"/>
    </row>
    <row r="111" spans="1:18" ht="5.0999999999999996" customHeight="1" x14ac:dyDescent="0.2">
      <c r="A111" s="2"/>
      <c r="B111" s="164"/>
      <c r="C111" s="166"/>
      <c r="D111" s="166"/>
      <c r="E111" s="166"/>
      <c r="F111" s="166"/>
      <c r="G111" s="166"/>
      <c r="H111" s="166"/>
      <c r="I111" s="166"/>
      <c r="J111" s="166"/>
      <c r="K111" s="166"/>
      <c r="L111" s="166"/>
      <c r="M111" s="166"/>
      <c r="N111" s="166"/>
      <c r="O111" s="166"/>
      <c r="P111" s="165"/>
      <c r="Q111" s="3"/>
      <c r="R111" s="1"/>
    </row>
    <row r="112" spans="1:18" ht="5.0999999999999996" customHeight="1" x14ac:dyDescent="0.2">
      <c r="A112" s="15"/>
      <c r="B112" s="10"/>
      <c r="C112" s="10"/>
      <c r="D112" s="10"/>
      <c r="E112" s="10"/>
      <c r="F112" s="10"/>
      <c r="G112" s="10"/>
      <c r="H112" s="10"/>
      <c r="I112" s="10"/>
      <c r="J112" s="10"/>
      <c r="K112" s="10"/>
      <c r="L112" s="10"/>
      <c r="M112" s="10"/>
      <c r="N112" s="10"/>
      <c r="O112" s="10"/>
      <c r="P112" s="10"/>
      <c r="Q112" s="18"/>
      <c r="R112" s="1"/>
    </row>
    <row r="113" spans="1:18" ht="5.0999999999999996" customHeight="1" x14ac:dyDescent="0.2">
      <c r="A113" s="8"/>
      <c r="B113" s="6"/>
      <c r="C113" s="6"/>
      <c r="D113" s="6"/>
      <c r="E113" s="6"/>
      <c r="F113" s="6"/>
      <c r="G113" s="6"/>
      <c r="H113" s="6"/>
      <c r="I113" s="6"/>
      <c r="J113" s="6"/>
      <c r="K113" s="6"/>
      <c r="L113" s="6"/>
      <c r="M113" s="6"/>
      <c r="N113" s="6"/>
      <c r="O113" s="6"/>
      <c r="P113" s="6"/>
      <c r="Q113" s="9"/>
      <c r="R113" s="1"/>
    </row>
    <row r="114" spans="1:18" ht="15.95" customHeight="1" x14ac:dyDescent="0.25">
      <c r="A114" s="192"/>
      <c r="B114" s="193"/>
      <c r="C114" s="194" t="s">
        <v>134</v>
      </c>
      <c r="D114" s="195"/>
      <c r="E114" s="195"/>
      <c r="F114" s="195"/>
      <c r="G114" s="195"/>
      <c r="H114" s="195"/>
      <c r="I114" s="196"/>
      <c r="J114" s="207" t="s">
        <v>139</v>
      </c>
      <c r="K114" s="206" t="s">
        <v>142</v>
      </c>
      <c r="L114" s="207" t="s">
        <v>140</v>
      </c>
      <c r="M114" s="206" t="s">
        <v>142</v>
      </c>
      <c r="N114" s="207" t="s">
        <v>141</v>
      </c>
      <c r="O114" s="206" t="s">
        <v>142</v>
      </c>
      <c r="P114" s="197"/>
      <c r="Q114" s="198"/>
      <c r="R114" s="579"/>
    </row>
    <row r="115" spans="1:18" ht="9.9499999999999993" customHeight="1" x14ac:dyDescent="0.2">
      <c r="A115" s="183"/>
      <c r="B115" s="184"/>
      <c r="C115" s="209" t="s">
        <v>147</v>
      </c>
      <c r="D115" s="210"/>
      <c r="E115" s="210"/>
      <c r="F115" s="210"/>
      <c r="G115" s="185"/>
      <c r="H115" s="186"/>
      <c r="I115" s="186"/>
      <c r="J115" s="187"/>
      <c r="K115" s="186"/>
      <c r="L115" s="188"/>
      <c r="M115" s="187"/>
      <c r="N115" s="188"/>
      <c r="O115" s="187"/>
      <c r="P115" s="189"/>
      <c r="Q115" s="190"/>
      <c r="R115" s="580"/>
    </row>
    <row r="116" spans="1:18" ht="12" customHeight="1" x14ac:dyDescent="0.2">
      <c r="A116" s="200"/>
      <c r="B116" s="201"/>
      <c r="C116" s="186" t="s">
        <v>135</v>
      </c>
      <c r="D116" s="186"/>
      <c r="E116" s="202" t="s">
        <v>123</v>
      </c>
      <c r="F116" s="186" t="s">
        <v>143</v>
      </c>
      <c r="G116" s="186"/>
      <c r="H116" s="186" t="s">
        <v>144</v>
      </c>
      <c r="I116" s="186"/>
      <c r="J116" s="186" t="s">
        <v>145</v>
      </c>
      <c r="K116" s="186"/>
      <c r="L116" s="186" t="s">
        <v>146</v>
      </c>
      <c r="M116" s="186"/>
      <c r="N116" s="186"/>
      <c r="O116" s="186"/>
      <c r="P116" s="203"/>
      <c r="Q116" s="204"/>
      <c r="R116" s="581"/>
    </row>
    <row r="117" spans="1:18" ht="12.6" customHeight="1" x14ac:dyDescent="0.2">
      <c r="A117" s="2"/>
      <c r="B117" s="162"/>
      <c r="C117" s="33"/>
      <c r="D117" s="38"/>
      <c r="E117" s="33"/>
      <c r="F117" s="33"/>
      <c r="G117" s="38"/>
      <c r="H117" s="28"/>
      <c r="I117" s="28"/>
      <c r="J117" s="33"/>
      <c r="K117" s="38"/>
      <c r="L117" s="28"/>
      <c r="M117" s="28"/>
      <c r="N117" s="28"/>
      <c r="O117" s="38"/>
      <c r="P117" s="163"/>
      <c r="Q117" s="3"/>
      <c r="R117" s="1"/>
    </row>
    <row r="118" spans="1:18" ht="12.6" customHeight="1" x14ac:dyDescent="0.2">
      <c r="A118" s="2"/>
      <c r="B118" s="162"/>
      <c r="C118" s="208"/>
      <c r="D118" s="21"/>
      <c r="E118" s="208"/>
      <c r="F118" s="208"/>
      <c r="G118" s="21"/>
      <c r="H118" s="28"/>
      <c r="I118" s="14"/>
      <c r="J118" s="33"/>
      <c r="K118" s="38"/>
      <c r="L118" s="28"/>
      <c r="M118" s="28"/>
      <c r="N118" s="28"/>
      <c r="O118" s="38"/>
      <c r="P118" s="163"/>
      <c r="Q118" s="3"/>
      <c r="R118" s="1"/>
    </row>
    <row r="119" spans="1:18" ht="12.6" customHeight="1" x14ac:dyDescent="0.2">
      <c r="A119" s="2"/>
      <c r="B119" s="162"/>
      <c r="C119" s="208"/>
      <c r="D119" s="21"/>
      <c r="E119" s="208"/>
      <c r="F119" s="208"/>
      <c r="G119" s="21"/>
      <c r="H119" s="28"/>
      <c r="I119" s="14"/>
      <c r="J119" s="33"/>
      <c r="K119" s="38"/>
      <c r="L119" s="28"/>
      <c r="M119" s="28"/>
      <c r="N119" s="28"/>
      <c r="O119" s="38"/>
      <c r="P119" s="163"/>
      <c r="Q119" s="3"/>
      <c r="R119" s="1"/>
    </row>
    <row r="120" spans="1:18" ht="12.6" customHeight="1" x14ac:dyDescent="0.2">
      <c r="A120" s="2"/>
      <c r="B120" s="162"/>
      <c r="C120" s="208"/>
      <c r="D120" s="21"/>
      <c r="E120" s="208"/>
      <c r="F120" s="208"/>
      <c r="G120" s="21"/>
      <c r="H120" s="14"/>
      <c r="I120" s="14"/>
      <c r="J120" s="208"/>
      <c r="K120" s="21"/>
      <c r="L120" s="14"/>
      <c r="M120" s="14"/>
      <c r="N120" s="14"/>
      <c r="O120" s="21"/>
      <c r="P120" s="163"/>
      <c r="Q120" s="3"/>
      <c r="R120" s="1"/>
    </row>
    <row r="121" spans="1:18" ht="12.6" customHeight="1" x14ac:dyDescent="0.2">
      <c r="A121" s="2"/>
      <c r="B121" s="162"/>
      <c r="C121" s="208"/>
      <c r="D121" s="21"/>
      <c r="E121" s="208"/>
      <c r="F121" s="208"/>
      <c r="G121" s="21"/>
      <c r="H121" s="14"/>
      <c r="I121" s="14"/>
      <c r="J121" s="208"/>
      <c r="K121" s="21"/>
      <c r="L121" s="14"/>
      <c r="M121" s="14"/>
      <c r="N121" s="14"/>
      <c r="O121" s="21"/>
      <c r="P121" s="163"/>
      <c r="Q121" s="3"/>
      <c r="R121" s="1"/>
    </row>
    <row r="122" spans="1:18" ht="12.6" customHeight="1" x14ac:dyDescent="0.2">
      <c r="A122" s="2"/>
      <c r="B122" s="162"/>
      <c r="C122" s="33"/>
      <c r="D122" s="38"/>
      <c r="E122" s="33"/>
      <c r="F122" s="33"/>
      <c r="G122" s="38"/>
      <c r="H122" s="28"/>
      <c r="I122" s="28"/>
      <c r="J122" s="33"/>
      <c r="K122" s="38"/>
      <c r="L122" s="28"/>
      <c r="M122" s="28"/>
      <c r="N122" s="28"/>
      <c r="O122" s="38"/>
      <c r="P122" s="163"/>
      <c r="Q122" s="3"/>
      <c r="R122" s="1"/>
    </row>
    <row r="123" spans="1:18" ht="12.6" customHeight="1" x14ac:dyDescent="0.2">
      <c r="A123" s="2"/>
      <c r="B123" s="162"/>
      <c r="C123" s="208"/>
      <c r="D123" s="21"/>
      <c r="E123" s="208"/>
      <c r="F123" s="208"/>
      <c r="G123" s="21"/>
      <c r="H123" s="28"/>
      <c r="I123" s="14"/>
      <c r="J123" s="33"/>
      <c r="K123" s="38"/>
      <c r="L123" s="28"/>
      <c r="M123" s="28"/>
      <c r="N123" s="28"/>
      <c r="O123" s="38"/>
      <c r="P123" s="163"/>
      <c r="Q123" s="3"/>
      <c r="R123" s="1"/>
    </row>
    <row r="124" spans="1:18" ht="12.6" customHeight="1" x14ac:dyDescent="0.2">
      <c r="A124" s="2"/>
      <c r="B124" s="162"/>
      <c r="C124" s="208"/>
      <c r="D124" s="21"/>
      <c r="E124" s="208"/>
      <c r="F124" s="208"/>
      <c r="G124" s="21"/>
      <c r="H124" s="14"/>
      <c r="I124" s="14"/>
      <c r="J124" s="208"/>
      <c r="K124" s="21"/>
      <c r="L124" s="14"/>
      <c r="M124" s="14"/>
      <c r="N124" s="14"/>
      <c r="O124" s="21"/>
      <c r="P124" s="163"/>
      <c r="Q124" s="3"/>
      <c r="R124" s="1"/>
    </row>
    <row r="125" spans="1:18" ht="12.6" customHeight="1" x14ac:dyDescent="0.2">
      <c r="A125" s="2"/>
      <c r="B125" s="162"/>
      <c r="C125" s="33"/>
      <c r="D125" s="38"/>
      <c r="E125" s="33"/>
      <c r="F125" s="33"/>
      <c r="G125" s="38"/>
      <c r="H125" s="28"/>
      <c r="I125" s="28"/>
      <c r="J125" s="33"/>
      <c r="K125" s="38"/>
      <c r="L125" s="28"/>
      <c r="M125" s="28"/>
      <c r="N125" s="28"/>
      <c r="O125" s="38"/>
      <c r="P125" s="163"/>
      <c r="Q125" s="3"/>
      <c r="R125" s="1"/>
    </row>
    <row r="126" spans="1:18" ht="12.6" customHeight="1" x14ac:dyDescent="0.2">
      <c r="A126" s="2"/>
      <c r="B126" s="162"/>
      <c r="C126" s="208"/>
      <c r="D126" s="21"/>
      <c r="E126" s="208"/>
      <c r="F126" s="208"/>
      <c r="G126" s="21"/>
      <c r="H126" s="28"/>
      <c r="I126" s="14"/>
      <c r="J126" s="33"/>
      <c r="K126" s="38"/>
      <c r="L126" s="28"/>
      <c r="M126" s="28"/>
      <c r="N126" s="28"/>
      <c r="O126" s="38"/>
      <c r="P126" s="163"/>
      <c r="Q126" s="3"/>
      <c r="R126" s="1"/>
    </row>
    <row r="127" spans="1:18" ht="12.6" customHeight="1" x14ac:dyDescent="0.2">
      <c r="A127" s="2"/>
      <c r="B127" s="162"/>
      <c r="C127" s="208"/>
      <c r="D127" s="21"/>
      <c r="E127" s="208"/>
      <c r="F127" s="208"/>
      <c r="G127" s="21"/>
      <c r="H127" s="14"/>
      <c r="I127" s="14"/>
      <c r="J127" s="208"/>
      <c r="K127" s="21"/>
      <c r="L127" s="14"/>
      <c r="M127" s="14"/>
      <c r="N127" s="14"/>
      <c r="O127" s="21"/>
      <c r="P127" s="163"/>
      <c r="Q127" s="3"/>
      <c r="R127" s="1"/>
    </row>
    <row r="128" spans="1:18" ht="12.6" customHeight="1" x14ac:dyDescent="0.2">
      <c r="A128" s="2"/>
      <c r="B128" s="162"/>
      <c r="C128" s="208"/>
      <c r="D128" s="21"/>
      <c r="E128" s="208"/>
      <c r="F128" s="208"/>
      <c r="G128" s="21"/>
      <c r="H128" s="14"/>
      <c r="I128" s="14"/>
      <c r="J128" s="208"/>
      <c r="K128" s="21"/>
      <c r="L128" s="14"/>
      <c r="M128" s="14"/>
      <c r="N128" s="14"/>
      <c r="O128" s="21"/>
      <c r="P128" s="163"/>
      <c r="Q128" s="3"/>
      <c r="R128" s="1"/>
    </row>
    <row r="129" spans="1:18" ht="12.6" customHeight="1" x14ac:dyDescent="0.2">
      <c r="A129" s="2"/>
      <c r="B129" s="162"/>
      <c r="C129" s="33"/>
      <c r="D129" s="38"/>
      <c r="E129" s="33"/>
      <c r="F129" s="33"/>
      <c r="G129" s="38"/>
      <c r="H129" s="28"/>
      <c r="I129" s="28"/>
      <c r="J129" s="33"/>
      <c r="K129" s="38"/>
      <c r="L129" s="28"/>
      <c r="M129" s="28"/>
      <c r="N129" s="28"/>
      <c r="O129" s="38"/>
      <c r="P129" s="163"/>
      <c r="Q129" s="3"/>
      <c r="R129" s="1"/>
    </row>
    <row r="130" spans="1:18" ht="12.6" customHeight="1" x14ac:dyDescent="0.2">
      <c r="A130" s="2"/>
      <c r="B130" s="162"/>
      <c r="C130" s="208"/>
      <c r="D130" s="21"/>
      <c r="E130" s="208"/>
      <c r="F130" s="208"/>
      <c r="G130" s="21"/>
      <c r="H130" s="28"/>
      <c r="I130" s="14"/>
      <c r="J130" s="33"/>
      <c r="K130" s="38"/>
      <c r="L130" s="28"/>
      <c r="M130" s="28"/>
      <c r="N130" s="28"/>
      <c r="O130" s="38"/>
      <c r="P130" s="163"/>
      <c r="Q130" s="3"/>
      <c r="R130" s="1"/>
    </row>
    <row r="131" spans="1:18" ht="12.6" customHeight="1" x14ac:dyDescent="0.2">
      <c r="A131" s="2"/>
      <c r="B131" s="162"/>
      <c r="C131" s="208"/>
      <c r="D131" s="21"/>
      <c r="E131" s="208"/>
      <c r="F131" s="208"/>
      <c r="G131" s="21"/>
      <c r="H131" s="14"/>
      <c r="I131" s="14"/>
      <c r="J131" s="208"/>
      <c r="K131" s="21"/>
      <c r="L131" s="14"/>
      <c r="M131" s="14"/>
      <c r="N131" s="14"/>
      <c r="O131" s="21"/>
      <c r="P131" s="163"/>
      <c r="Q131" s="3"/>
      <c r="R131" s="1"/>
    </row>
    <row r="132" spans="1:18" ht="12.6" customHeight="1" x14ac:dyDescent="0.2">
      <c r="A132" s="2"/>
      <c r="B132" s="162"/>
      <c r="C132" s="33"/>
      <c r="D132" s="38"/>
      <c r="E132" s="33"/>
      <c r="F132" s="33"/>
      <c r="G132" s="38"/>
      <c r="H132" s="28"/>
      <c r="I132" s="28"/>
      <c r="J132" s="33"/>
      <c r="K132" s="38"/>
      <c r="L132" s="28"/>
      <c r="M132" s="28"/>
      <c r="N132" s="28"/>
      <c r="O132" s="38"/>
      <c r="P132" s="163"/>
      <c r="Q132" s="3"/>
      <c r="R132" s="1"/>
    </row>
    <row r="133" spans="1:18" ht="12.6" customHeight="1" x14ac:dyDescent="0.2">
      <c r="A133" s="2"/>
      <c r="B133" s="162"/>
      <c r="C133" s="208"/>
      <c r="D133" s="21"/>
      <c r="E133" s="208"/>
      <c r="F133" s="208"/>
      <c r="G133" s="21"/>
      <c r="H133" s="28"/>
      <c r="I133" s="14"/>
      <c r="J133" s="33"/>
      <c r="K133" s="38"/>
      <c r="L133" s="28"/>
      <c r="M133" s="28"/>
      <c r="N133" s="28"/>
      <c r="O133" s="38"/>
      <c r="P133" s="163"/>
      <c r="Q133" s="3"/>
      <c r="R133" s="1"/>
    </row>
    <row r="134" spans="1:18" ht="12.6" customHeight="1" x14ac:dyDescent="0.2">
      <c r="A134" s="2"/>
      <c r="B134" s="162"/>
      <c r="C134" s="208"/>
      <c r="D134" s="21"/>
      <c r="E134" s="208"/>
      <c r="F134" s="208"/>
      <c r="G134" s="21"/>
      <c r="H134" s="14"/>
      <c r="I134" s="14"/>
      <c r="J134" s="208"/>
      <c r="K134" s="21"/>
      <c r="L134" s="14"/>
      <c r="M134" s="14"/>
      <c r="N134" s="14"/>
      <c r="O134" s="21"/>
      <c r="P134" s="163"/>
      <c r="Q134" s="3"/>
      <c r="R134" s="1"/>
    </row>
    <row r="135" spans="1:18" ht="12.6" customHeight="1" x14ac:dyDescent="0.2">
      <c r="A135" s="2"/>
      <c r="B135" s="162"/>
      <c r="C135" s="208"/>
      <c r="D135" s="21"/>
      <c r="E135" s="208"/>
      <c r="F135" s="208"/>
      <c r="G135" s="21"/>
      <c r="H135" s="14"/>
      <c r="I135" s="14"/>
      <c r="J135" s="208"/>
      <c r="K135" s="21"/>
      <c r="L135" s="14"/>
      <c r="M135" s="14"/>
      <c r="N135" s="14"/>
      <c r="O135" s="21"/>
      <c r="P135" s="163"/>
      <c r="Q135" s="3"/>
      <c r="R135" s="1"/>
    </row>
    <row r="136" spans="1:18" ht="12.6" customHeight="1" x14ac:dyDescent="0.2">
      <c r="A136" s="2"/>
      <c r="B136" s="162"/>
      <c r="C136" s="33"/>
      <c r="D136" s="38"/>
      <c r="E136" s="33"/>
      <c r="F136" s="33"/>
      <c r="G136" s="38"/>
      <c r="H136" s="28"/>
      <c r="I136" s="28"/>
      <c r="J136" s="33"/>
      <c r="K136" s="38"/>
      <c r="L136" s="28"/>
      <c r="M136" s="28"/>
      <c r="N136" s="28"/>
      <c r="O136" s="38"/>
      <c r="P136" s="163"/>
      <c r="Q136" s="3"/>
      <c r="R136" s="1"/>
    </row>
    <row r="137" spans="1:18" ht="12.6" customHeight="1" x14ac:dyDescent="0.2">
      <c r="A137" s="2"/>
      <c r="B137" s="162"/>
      <c r="C137" s="208"/>
      <c r="D137" s="21"/>
      <c r="E137" s="208"/>
      <c r="F137" s="208"/>
      <c r="G137" s="21"/>
      <c r="H137" s="28"/>
      <c r="I137" s="14"/>
      <c r="J137" s="33"/>
      <c r="K137" s="38"/>
      <c r="L137" s="28"/>
      <c r="M137" s="28"/>
      <c r="N137" s="28"/>
      <c r="O137" s="38"/>
      <c r="P137" s="163"/>
      <c r="Q137" s="3"/>
      <c r="R137" s="1"/>
    </row>
    <row r="138" spans="1:18" ht="12.6" customHeight="1" x14ac:dyDescent="0.2">
      <c r="A138" s="2"/>
      <c r="B138" s="162"/>
      <c r="C138" s="208"/>
      <c r="D138" s="21"/>
      <c r="E138" s="208"/>
      <c r="F138" s="208"/>
      <c r="G138" s="21"/>
      <c r="H138" s="14"/>
      <c r="I138" s="14"/>
      <c r="J138" s="208"/>
      <c r="K138" s="21"/>
      <c r="L138" s="14"/>
      <c r="M138" s="14"/>
      <c r="N138" s="14"/>
      <c r="O138" s="21"/>
      <c r="P138" s="163"/>
      <c r="Q138" s="3"/>
      <c r="R138" s="1"/>
    </row>
    <row r="139" spans="1:18" ht="12.6" customHeight="1" x14ac:dyDescent="0.2">
      <c r="A139" s="2"/>
      <c r="B139" s="162"/>
      <c r="C139" s="33"/>
      <c r="D139" s="38"/>
      <c r="E139" s="33"/>
      <c r="F139" s="33"/>
      <c r="G139" s="38"/>
      <c r="H139" s="28"/>
      <c r="I139" s="28"/>
      <c r="J139" s="33"/>
      <c r="K139" s="38"/>
      <c r="L139" s="28"/>
      <c r="M139" s="28"/>
      <c r="N139" s="28"/>
      <c r="O139" s="38"/>
      <c r="P139" s="163"/>
      <c r="Q139" s="3"/>
      <c r="R139" s="1"/>
    </row>
    <row r="140" spans="1:18" ht="12.6" customHeight="1" x14ac:dyDescent="0.2">
      <c r="A140" s="2"/>
      <c r="B140" s="162"/>
      <c r="C140" s="208"/>
      <c r="D140" s="21"/>
      <c r="E140" s="208"/>
      <c r="F140" s="208"/>
      <c r="G140" s="21"/>
      <c r="H140" s="28"/>
      <c r="I140" s="14"/>
      <c r="J140" s="33"/>
      <c r="K140" s="38"/>
      <c r="L140" s="28"/>
      <c r="M140" s="28"/>
      <c r="N140" s="28"/>
      <c r="O140" s="38"/>
      <c r="P140" s="163"/>
      <c r="Q140" s="3"/>
      <c r="R140" s="1"/>
    </row>
    <row r="141" spans="1:18" ht="12.6" customHeight="1" x14ac:dyDescent="0.2">
      <c r="A141" s="2"/>
      <c r="B141" s="162"/>
      <c r="C141" s="208"/>
      <c r="D141" s="21"/>
      <c r="E141" s="208"/>
      <c r="F141" s="208"/>
      <c r="G141" s="21"/>
      <c r="H141" s="14"/>
      <c r="I141" s="14"/>
      <c r="J141" s="208"/>
      <c r="K141" s="21"/>
      <c r="L141" s="14"/>
      <c r="M141" s="14"/>
      <c r="N141" s="14"/>
      <c r="O141" s="21"/>
      <c r="P141" s="163"/>
      <c r="Q141" s="3"/>
      <c r="R141" s="1"/>
    </row>
    <row r="142" spans="1:18" ht="12.6" customHeight="1" x14ac:dyDescent="0.2">
      <c r="A142" s="2"/>
      <c r="B142" s="162"/>
      <c r="C142" s="208"/>
      <c r="D142" s="21"/>
      <c r="E142" s="208"/>
      <c r="F142" s="208"/>
      <c r="G142" s="21"/>
      <c r="H142" s="14"/>
      <c r="I142" s="14"/>
      <c r="J142" s="208"/>
      <c r="K142" s="21"/>
      <c r="L142" s="14"/>
      <c r="M142" s="14"/>
      <c r="N142" s="14"/>
      <c r="O142" s="21"/>
      <c r="P142" s="163"/>
      <c r="Q142" s="3"/>
      <c r="R142" s="1"/>
    </row>
    <row r="143" spans="1:18" ht="12.6" customHeight="1" x14ac:dyDescent="0.2">
      <c r="A143" s="2"/>
      <c r="B143" s="162"/>
      <c r="C143" s="33"/>
      <c r="D143" s="38"/>
      <c r="E143" s="33"/>
      <c r="F143" s="33"/>
      <c r="G143" s="38"/>
      <c r="H143" s="28"/>
      <c r="I143" s="28"/>
      <c r="J143" s="33"/>
      <c r="K143" s="38"/>
      <c r="L143" s="28"/>
      <c r="M143" s="28"/>
      <c r="N143" s="28"/>
      <c r="O143" s="38"/>
      <c r="P143" s="163"/>
      <c r="Q143" s="3"/>
      <c r="R143" s="1"/>
    </row>
    <row r="144" spans="1:18" ht="12.6" customHeight="1" x14ac:dyDescent="0.2">
      <c r="A144" s="2"/>
      <c r="B144" s="162"/>
      <c r="C144" s="208"/>
      <c r="D144" s="21"/>
      <c r="E144" s="208"/>
      <c r="F144" s="208"/>
      <c r="G144" s="21"/>
      <c r="H144" s="28"/>
      <c r="I144" s="14"/>
      <c r="J144" s="33"/>
      <c r="K144" s="38"/>
      <c r="L144" s="28"/>
      <c r="M144" s="28"/>
      <c r="N144" s="28"/>
      <c r="O144" s="38"/>
      <c r="P144" s="163"/>
      <c r="Q144" s="3"/>
      <c r="R144" s="1"/>
    </row>
    <row r="145" spans="1:18" ht="12.6" customHeight="1" x14ac:dyDescent="0.2">
      <c r="A145" s="2"/>
      <c r="B145" s="162"/>
      <c r="C145" s="33"/>
      <c r="D145" s="38"/>
      <c r="E145" s="33"/>
      <c r="F145" s="33"/>
      <c r="G145" s="38"/>
      <c r="H145" s="28"/>
      <c r="I145" s="28"/>
      <c r="J145" s="33"/>
      <c r="K145" s="38"/>
      <c r="L145" s="28"/>
      <c r="M145" s="28"/>
      <c r="N145" s="28"/>
      <c r="O145" s="38"/>
      <c r="P145" s="163"/>
      <c r="Q145" s="3"/>
      <c r="R145" s="1"/>
    </row>
    <row r="146" spans="1:18" ht="12.6" customHeight="1" x14ac:dyDescent="0.2">
      <c r="A146" s="2"/>
      <c r="B146" s="162"/>
      <c r="C146" s="208"/>
      <c r="D146" s="21"/>
      <c r="E146" s="208"/>
      <c r="F146" s="208"/>
      <c r="G146" s="21"/>
      <c r="H146" s="28"/>
      <c r="I146" s="14"/>
      <c r="J146" s="33"/>
      <c r="K146" s="38"/>
      <c r="L146" s="28"/>
      <c r="M146" s="28"/>
      <c r="N146" s="28"/>
      <c r="O146" s="38"/>
      <c r="P146" s="163"/>
      <c r="Q146" s="3"/>
      <c r="R146" s="1"/>
    </row>
    <row r="147" spans="1:18" ht="12.6" customHeight="1" x14ac:dyDescent="0.2">
      <c r="A147" s="2"/>
      <c r="B147" s="162"/>
      <c r="C147" s="208"/>
      <c r="D147" s="21"/>
      <c r="E147" s="208"/>
      <c r="F147" s="208"/>
      <c r="G147" s="21"/>
      <c r="H147" s="14"/>
      <c r="I147" s="14"/>
      <c r="J147" s="208"/>
      <c r="K147" s="21"/>
      <c r="L147" s="14"/>
      <c r="M147" s="14"/>
      <c r="N147" s="14"/>
      <c r="O147" s="21"/>
      <c r="P147" s="163"/>
      <c r="Q147" s="3"/>
      <c r="R147" s="1"/>
    </row>
    <row r="148" spans="1:18" ht="12.6" customHeight="1" x14ac:dyDescent="0.2">
      <c r="A148" s="2"/>
      <c r="B148" s="162"/>
      <c r="C148" s="208"/>
      <c r="D148" s="21"/>
      <c r="E148" s="208"/>
      <c r="F148" s="208"/>
      <c r="G148" s="21"/>
      <c r="H148" s="14"/>
      <c r="I148" s="14"/>
      <c r="J148" s="208"/>
      <c r="K148" s="21"/>
      <c r="L148" s="14"/>
      <c r="M148" s="14"/>
      <c r="N148" s="14"/>
      <c r="O148" s="21"/>
      <c r="P148" s="163"/>
      <c r="Q148" s="3"/>
      <c r="R148" s="1"/>
    </row>
    <row r="149" spans="1:18" ht="12.6" customHeight="1" x14ac:dyDescent="0.2">
      <c r="A149" s="2"/>
      <c r="B149" s="162"/>
      <c r="C149" s="33"/>
      <c r="D149" s="38"/>
      <c r="E149" s="33"/>
      <c r="F149" s="33"/>
      <c r="G149" s="38"/>
      <c r="H149" s="28"/>
      <c r="I149" s="28"/>
      <c r="J149" s="33"/>
      <c r="K149" s="38"/>
      <c r="L149" s="28"/>
      <c r="M149" s="28"/>
      <c r="N149" s="28"/>
      <c r="O149" s="38"/>
      <c r="P149" s="163"/>
      <c r="Q149" s="3"/>
      <c r="R149" s="1"/>
    </row>
    <row r="150" spans="1:18" ht="12.6" customHeight="1" x14ac:dyDescent="0.2">
      <c r="A150" s="2"/>
      <c r="B150" s="162"/>
      <c r="C150" s="208"/>
      <c r="D150" s="21"/>
      <c r="E150" s="208"/>
      <c r="F150" s="208"/>
      <c r="G150" s="21"/>
      <c r="H150" s="28"/>
      <c r="I150" s="14"/>
      <c r="J150" s="33"/>
      <c r="K150" s="38"/>
      <c r="L150" s="28"/>
      <c r="M150" s="28"/>
      <c r="N150" s="28"/>
      <c r="O150" s="38"/>
      <c r="P150" s="163"/>
      <c r="Q150" s="3"/>
      <c r="R150" s="1"/>
    </row>
    <row r="151" spans="1:18" ht="12.6" customHeight="1" x14ac:dyDescent="0.2">
      <c r="A151" s="2"/>
      <c r="B151" s="162"/>
      <c r="C151" s="208"/>
      <c r="D151" s="21"/>
      <c r="E151" s="208"/>
      <c r="F151" s="208"/>
      <c r="G151" s="21"/>
      <c r="H151" s="14"/>
      <c r="I151" s="14"/>
      <c r="J151" s="208"/>
      <c r="K151" s="21"/>
      <c r="L151" s="14"/>
      <c r="M151" s="14"/>
      <c r="N151" s="14"/>
      <c r="O151" s="21"/>
      <c r="P151" s="163"/>
      <c r="Q151" s="3"/>
      <c r="R151" s="1"/>
    </row>
    <row r="152" spans="1:18" ht="12.6" customHeight="1" x14ac:dyDescent="0.2">
      <c r="A152" s="2"/>
      <c r="B152" s="162"/>
      <c r="C152" s="33"/>
      <c r="D152" s="38"/>
      <c r="E152" s="33"/>
      <c r="F152" s="33"/>
      <c r="G152" s="38"/>
      <c r="H152" s="28"/>
      <c r="I152" s="28"/>
      <c r="J152" s="33"/>
      <c r="K152" s="38"/>
      <c r="L152" s="28"/>
      <c r="M152" s="28"/>
      <c r="N152" s="28"/>
      <c r="O152" s="38"/>
      <c r="P152" s="163"/>
      <c r="Q152" s="3"/>
      <c r="R152" s="1"/>
    </row>
    <row r="153" spans="1:18" ht="12.6" customHeight="1" x14ac:dyDescent="0.2">
      <c r="A153" s="2"/>
      <c r="B153" s="162"/>
      <c r="C153" s="208"/>
      <c r="D153" s="21"/>
      <c r="E153" s="208"/>
      <c r="F153" s="208"/>
      <c r="G153" s="21"/>
      <c r="H153" s="28"/>
      <c r="I153" s="14"/>
      <c r="J153" s="33"/>
      <c r="K153" s="38"/>
      <c r="L153" s="28"/>
      <c r="M153" s="28"/>
      <c r="N153" s="28"/>
      <c r="O153" s="38"/>
      <c r="P153" s="163"/>
      <c r="Q153" s="3"/>
      <c r="R153" s="1"/>
    </row>
    <row r="154" spans="1:18" ht="12.6" customHeight="1" x14ac:dyDescent="0.2">
      <c r="A154" s="2"/>
      <c r="B154" s="162"/>
      <c r="C154" s="208"/>
      <c r="D154" s="21"/>
      <c r="E154" s="208"/>
      <c r="F154" s="208"/>
      <c r="G154" s="21"/>
      <c r="H154" s="14"/>
      <c r="I154" s="14"/>
      <c r="J154" s="208"/>
      <c r="K154" s="21"/>
      <c r="L154" s="14"/>
      <c r="M154" s="14"/>
      <c r="N154" s="14"/>
      <c r="O154" s="21"/>
      <c r="P154" s="163"/>
      <c r="Q154" s="3"/>
      <c r="R154" s="1"/>
    </row>
    <row r="155" spans="1:18" ht="12.6" customHeight="1" x14ac:dyDescent="0.2">
      <c r="A155" s="2"/>
      <c r="B155" s="162"/>
      <c r="C155" s="208"/>
      <c r="D155" s="21"/>
      <c r="E155" s="208"/>
      <c r="F155" s="208"/>
      <c r="G155" s="21"/>
      <c r="H155" s="14"/>
      <c r="I155" s="14"/>
      <c r="J155" s="208"/>
      <c r="K155" s="21"/>
      <c r="L155" s="14"/>
      <c r="M155" s="14"/>
      <c r="N155" s="14"/>
      <c r="O155" s="21"/>
      <c r="P155" s="163"/>
      <c r="Q155" s="3"/>
      <c r="R155" s="1"/>
    </row>
    <row r="156" spans="1:18" ht="12.6" customHeight="1" x14ac:dyDescent="0.2">
      <c r="A156" s="2"/>
      <c r="B156" s="162"/>
      <c r="C156" s="208"/>
      <c r="D156" s="21"/>
      <c r="E156" s="208"/>
      <c r="F156" s="208"/>
      <c r="G156" s="21"/>
      <c r="H156" s="14"/>
      <c r="I156" s="14"/>
      <c r="J156" s="208"/>
      <c r="K156" s="21"/>
      <c r="L156" s="14"/>
      <c r="M156" s="14"/>
      <c r="N156" s="14"/>
      <c r="O156" s="21"/>
      <c r="P156" s="163"/>
      <c r="Q156" s="3"/>
      <c r="R156" s="1"/>
    </row>
    <row r="157" spans="1:18" ht="12.6" customHeight="1" x14ac:dyDescent="0.2">
      <c r="A157" s="2"/>
      <c r="B157" s="162"/>
      <c r="C157" s="33"/>
      <c r="D157" s="38"/>
      <c r="E157" s="33"/>
      <c r="F157" s="33"/>
      <c r="G157" s="38"/>
      <c r="H157" s="28"/>
      <c r="I157" s="28"/>
      <c r="J157" s="33"/>
      <c r="K157" s="38"/>
      <c r="L157" s="28"/>
      <c r="M157" s="28"/>
      <c r="N157" s="28"/>
      <c r="O157" s="38"/>
      <c r="P157" s="163"/>
      <c r="Q157" s="3"/>
      <c r="R157" s="1"/>
    </row>
    <row r="158" spans="1:18" ht="12.6" customHeight="1" x14ac:dyDescent="0.2">
      <c r="A158" s="2"/>
      <c r="B158" s="162"/>
      <c r="C158" s="208"/>
      <c r="D158" s="21"/>
      <c r="E158" s="208"/>
      <c r="F158" s="208"/>
      <c r="G158" s="21"/>
      <c r="H158" s="28"/>
      <c r="I158" s="14"/>
      <c r="J158" s="33"/>
      <c r="K158" s="38"/>
      <c r="L158" s="28"/>
      <c r="M158" s="28"/>
      <c r="N158" s="28"/>
      <c r="O158" s="38"/>
      <c r="P158" s="163"/>
      <c r="Q158" s="3"/>
      <c r="R158" s="1"/>
    </row>
    <row r="159" spans="1:18" ht="12.6" customHeight="1" x14ac:dyDescent="0.2">
      <c r="A159" s="2"/>
      <c r="B159" s="162"/>
      <c r="C159" s="33"/>
      <c r="D159" s="38"/>
      <c r="E159" s="33"/>
      <c r="F159" s="33"/>
      <c r="G159" s="38"/>
      <c r="H159" s="28"/>
      <c r="I159" s="28"/>
      <c r="J159" s="33"/>
      <c r="K159" s="38"/>
      <c r="L159" s="28"/>
      <c r="M159" s="28"/>
      <c r="N159" s="28"/>
      <c r="O159" s="38"/>
      <c r="P159" s="163"/>
      <c r="Q159" s="3"/>
      <c r="R159" s="1"/>
    </row>
    <row r="160" spans="1:18" ht="12.6" customHeight="1" x14ac:dyDescent="0.2">
      <c r="A160" s="2"/>
      <c r="B160" s="162"/>
      <c r="C160" s="208"/>
      <c r="D160" s="21"/>
      <c r="E160" s="208"/>
      <c r="F160" s="208"/>
      <c r="G160" s="21"/>
      <c r="H160" s="28"/>
      <c r="I160" s="14"/>
      <c r="J160" s="33"/>
      <c r="K160" s="38"/>
      <c r="L160" s="28"/>
      <c r="M160" s="28"/>
      <c r="N160" s="28"/>
      <c r="O160" s="38"/>
      <c r="P160" s="163"/>
      <c r="Q160" s="3"/>
      <c r="R160" s="1"/>
    </row>
    <row r="161" spans="1:18" ht="12.6" customHeight="1" x14ac:dyDescent="0.2">
      <c r="A161" s="2"/>
      <c r="B161" s="162"/>
      <c r="C161" s="208"/>
      <c r="D161" s="21"/>
      <c r="E161" s="208"/>
      <c r="F161" s="208"/>
      <c r="G161" s="21"/>
      <c r="H161" s="28"/>
      <c r="I161" s="14"/>
      <c r="J161" s="33"/>
      <c r="K161" s="38"/>
      <c r="L161" s="28"/>
      <c r="M161" s="28"/>
      <c r="N161" s="28"/>
      <c r="O161" s="38"/>
      <c r="P161" s="163"/>
      <c r="Q161" s="3"/>
      <c r="R161" s="1"/>
    </row>
    <row r="162" spans="1:18" ht="12.6" customHeight="1" x14ac:dyDescent="0.2">
      <c r="A162" s="2"/>
      <c r="B162" s="162"/>
      <c r="C162" s="208"/>
      <c r="D162" s="21"/>
      <c r="E162" s="208"/>
      <c r="F162" s="208"/>
      <c r="G162" s="21"/>
      <c r="H162" s="28"/>
      <c r="I162" s="14"/>
      <c r="J162" s="33"/>
      <c r="K162" s="38"/>
      <c r="L162" s="28"/>
      <c r="M162" s="28"/>
      <c r="N162" s="28"/>
      <c r="O162" s="38"/>
      <c r="P162" s="163"/>
      <c r="Q162" s="3"/>
      <c r="R162" s="1"/>
    </row>
    <row r="163" spans="1:18" ht="12.6" customHeight="1" x14ac:dyDescent="0.2">
      <c r="A163" s="2"/>
      <c r="B163" s="162"/>
      <c r="C163" s="208"/>
      <c r="D163" s="21"/>
      <c r="E163" s="208"/>
      <c r="F163" s="208"/>
      <c r="G163" s="21"/>
      <c r="H163" s="28"/>
      <c r="I163" s="14"/>
      <c r="J163" s="33"/>
      <c r="K163" s="38"/>
      <c r="L163" s="28"/>
      <c r="M163" s="28"/>
      <c r="N163" s="28"/>
      <c r="O163" s="38"/>
      <c r="P163" s="163"/>
      <c r="Q163" s="3"/>
      <c r="R163" s="1"/>
    </row>
    <row r="164" spans="1:18" ht="12.6" customHeight="1" x14ac:dyDescent="0.2">
      <c r="A164" s="2"/>
      <c r="B164" s="162"/>
      <c r="C164" s="208"/>
      <c r="D164" s="21"/>
      <c r="E164" s="208"/>
      <c r="F164" s="208"/>
      <c r="G164" s="21"/>
      <c r="H164" s="14"/>
      <c r="I164" s="14"/>
      <c r="J164" s="208"/>
      <c r="K164" s="21"/>
      <c r="L164" s="14"/>
      <c r="M164" s="14"/>
      <c r="N164" s="14"/>
      <c r="O164" s="21"/>
      <c r="P164" s="163"/>
      <c r="Q164" s="3"/>
      <c r="R164" s="1"/>
    </row>
    <row r="165" spans="1:18" ht="12.6" customHeight="1" x14ac:dyDescent="0.2">
      <c r="A165" s="2"/>
      <c r="B165" s="162"/>
      <c r="C165" s="208"/>
      <c r="D165" s="21"/>
      <c r="E165" s="208"/>
      <c r="F165" s="208"/>
      <c r="G165" s="21"/>
      <c r="H165" s="14"/>
      <c r="I165" s="14"/>
      <c r="J165" s="208"/>
      <c r="K165" s="21"/>
      <c r="L165" s="14"/>
      <c r="M165" s="14"/>
      <c r="N165" s="14"/>
      <c r="O165" s="21"/>
      <c r="P165" s="163"/>
      <c r="Q165" s="3"/>
      <c r="R165" s="1"/>
    </row>
    <row r="166" spans="1:18" ht="12.6" customHeight="1" x14ac:dyDescent="0.2">
      <c r="A166" s="2"/>
      <c r="B166" s="162"/>
      <c r="C166" s="33"/>
      <c r="D166" s="38"/>
      <c r="E166" s="33"/>
      <c r="F166" s="33"/>
      <c r="G166" s="38"/>
      <c r="H166" s="28"/>
      <c r="I166" s="28"/>
      <c r="J166" s="33"/>
      <c r="K166" s="38"/>
      <c r="L166" s="28"/>
      <c r="M166" s="28"/>
      <c r="N166" s="28"/>
      <c r="O166" s="38"/>
      <c r="P166" s="163"/>
      <c r="Q166" s="3"/>
      <c r="R166" s="1"/>
    </row>
    <row r="167" spans="1:18" ht="5.0999999999999996" customHeight="1" x14ac:dyDescent="0.2">
      <c r="A167" s="2"/>
      <c r="B167" s="164"/>
      <c r="C167" s="166"/>
      <c r="D167" s="166"/>
      <c r="E167" s="166"/>
      <c r="F167" s="166"/>
      <c r="G167" s="166"/>
      <c r="H167" s="166"/>
      <c r="I167" s="166"/>
      <c r="J167" s="166"/>
      <c r="K167" s="166"/>
      <c r="L167" s="166"/>
      <c r="M167" s="166"/>
      <c r="N167" s="166"/>
      <c r="O167" s="166"/>
      <c r="P167" s="165"/>
      <c r="Q167" s="3"/>
      <c r="R167" s="1"/>
    </row>
    <row r="168" spans="1:18" ht="5.0999999999999996" customHeight="1" x14ac:dyDescent="0.2">
      <c r="A168" s="15"/>
      <c r="B168" s="10"/>
      <c r="C168" s="10"/>
      <c r="D168" s="10"/>
      <c r="E168" s="10"/>
      <c r="F168" s="10"/>
      <c r="G168" s="10"/>
      <c r="H168" s="10"/>
      <c r="I168" s="10"/>
      <c r="J168" s="10"/>
      <c r="K168" s="10"/>
      <c r="L168" s="10"/>
      <c r="M168" s="10"/>
      <c r="N168" s="10"/>
      <c r="O168" s="10"/>
      <c r="P168" s="10"/>
      <c r="Q168" s="18"/>
      <c r="R168" s="1"/>
    </row>
    <row r="169" spans="1:18" ht="5.0999999999999996" customHeight="1" x14ac:dyDescent="0.2">
      <c r="A169" s="8"/>
      <c r="B169" s="6"/>
      <c r="C169" s="6"/>
      <c r="D169" s="6"/>
      <c r="E169" s="6"/>
      <c r="F169" s="6"/>
      <c r="G169" s="6"/>
      <c r="H169" s="6"/>
      <c r="I169" s="6"/>
      <c r="J169" s="6"/>
      <c r="K169" s="6"/>
      <c r="L169" s="6"/>
      <c r="M169" s="6"/>
      <c r="N169" s="6"/>
      <c r="O169" s="6"/>
      <c r="P169" s="6"/>
      <c r="Q169" s="9"/>
      <c r="R169" s="1"/>
    </row>
    <row r="170" spans="1:18" ht="15.95" customHeight="1" x14ac:dyDescent="0.25">
      <c r="A170" s="192"/>
      <c r="B170" s="193"/>
      <c r="C170" s="194" t="s">
        <v>134</v>
      </c>
      <c r="D170" s="195"/>
      <c r="E170" s="195"/>
      <c r="F170" s="195"/>
      <c r="G170" s="195"/>
      <c r="H170" s="195"/>
      <c r="I170" s="196"/>
      <c r="J170" s="207" t="s">
        <v>139</v>
      </c>
      <c r="K170" s="206" t="s">
        <v>142</v>
      </c>
      <c r="L170" s="207" t="s">
        <v>140</v>
      </c>
      <c r="M170" s="206" t="s">
        <v>142</v>
      </c>
      <c r="N170" s="207" t="s">
        <v>141</v>
      </c>
      <c r="O170" s="206" t="s">
        <v>142</v>
      </c>
      <c r="P170" s="197"/>
      <c r="Q170" s="198"/>
      <c r="R170" s="579"/>
    </row>
    <row r="171" spans="1:18" ht="9.9499999999999993" customHeight="1" x14ac:dyDescent="0.2">
      <c r="A171" s="183"/>
      <c r="B171" s="184"/>
      <c r="C171" s="209" t="s">
        <v>147</v>
      </c>
      <c r="D171" s="210"/>
      <c r="E171" s="210"/>
      <c r="F171" s="210"/>
      <c r="G171" s="185"/>
      <c r="H171" s="186"/>
      <c r="I171" s="186"/>
      <c r="J171" s="187"/>
      <c r="K171" s="186"/>
      <c r="L171" s="188"/>
      <c r="M171" s="187"/>
      <c r="N171" s="188"/>
      <c r="O171" s="187"/>
      <c r="P171" s="189"/>
      <c r="Q171" s="190"/>
      <c r="R171" s="580"/>
    </row>
    <row r="172" spans="1:18" ht="12" customHeight="1" x14ac:dyDescent="0.2">
      <c r="A172" s="200"/>
      <c r="B172" s="201"/>
      <c r="C172" s="186" t="s">
        <v>135</v>
      </c>
      <c r="D172" s="186"/>
      <c r="E172" s="202" t="s">
        <v>123</v>
      </c>
      <c r="F172" s="186" t="s">
        <v>143</v>
      </c>
      <c r="G172" s="186"/>
      <c r="H172" s="186" t="s">
        <v>144</v>
      </c>
      <c r="I172" s="186"/>
      <c r="J172" s="186" t="s">
        <v>145</v>
      </c>
      <c r="K172" s="186"/>
      <c r="L172" s="186" t="s">
        <v>146</v>
      </c>
      <c r="M172" s="186"/>
      <c r="N172" s="186"/>
      <c r="O172" s="186"/>
      <c r="P172" s="203"/>
      <c r="Q172" s="204"/>
      <c r="R172" s="581"/>
    </row>
    <row r="173" spans="1:18" ht="12.6" customHeight="1" x14ac:dyDescent="0.2">
      <c r="A173" s="2"/>
      <c r="B173" s="162"/>
      <c r="C173" s="33"/>
      <c r="D173" s="38"/>
      <c r="E173" s="33"/>
      <c r="F173" s="33"/>
      <c r="G173" s="38"/>
      <c r="H173" s="28"/>
      <c r="I173" s="28"/>
      <c r="J173" s="33"/>
      <c r="K173" s="38"/>
      <c r="L173" s="28"/>
      <c r="M173" s="28"/>
      <c r="N173" s="28"/>
      <c r="O173" s="38"/>
      <c r="P173" s="163"/>
      <c r="Q173" s="3"/>
      <c r="R173" s="1"/>
    </row>
    <row r="174" spans="1:18" ht="12.6" customHeight="1" x14ac:dyDescent="0.2">
      <c r="A174" s="2"/>
      <c r="B174" s="162"/>
      <c r="C174" s="208"/>
      <c r="D174" s="21"/>
      <c r="E174" s="208"/>
      <c r="F174" s="208"/>
      <c r="G174" s="21"/>
      <c r="H174" s="28"/>
      <c r="I174" s="14"/>
      <c r="J174" s="33"/>
      <c r="K174" s="38"/>
      <c r="L174" s="28"/>
      <c r="M174" s="28"/>
      <c r="N174" s="28"/>
      <c r="O174" s="38"/>
      <c r="P174" s="163"/>
      <c r="Q174" s="3"/>
      <c r="R174" s="1"/>
    </row>
    <row r="175" spans="1:18" ht="12.6" customHeight="1" x14ac:dyDescent="0.2">
      <c r="A175" s="2"/>
      <c r="B175" s="162"/>
      <c r="C175" s="208"/>
      <c r="D175" s="21"/>
      <c r="E175" s="208"/>
      <c r="F175" s="208"/>
      <c r="G175" s="21"/>
      <c r="H175" s="28"/>
      <c r="I175" s="14"/>
      <c r="J175" s="33"/>
      <c r="K175" s="38"/>
      <c r="L175" s="28"/>
      <c r="M175" s="28"/>
      <c r="N175" s="28"/>
      <c r="O175" s="38"/>
      <c r="P175" s="163"/>
      <c r="Q175" s="3"/>
      <c r="R175" s="1"/>
    </row>
    <row r="176" spans="1:18" ht="12.6" customHeight="1" x14ac:dyDescent="0.2">
      <c r="A176" s="2"/>
      <c r="B176" s="162"/>
      <c r="C176" s="208"/>
      <c r="D176" s="21"/>
      <c r="E176" s="208"/>
      <c r="F176" s="208"/>
      <c r="G176" s="21"/>
      <c r="H176" s="14"/>
      <c r="I176" s="14"/>
      <c r="J176" s="208"/>
      <c r="K176" s="21"/>
      <c r="L176" s="14"/>
      <c r="M176" s="14"/>
      <c r="N176" s="14"/>
      <c r="O176" s="21"/>
      <c r="P176" s="163"/>
      <c r="Q176" s="3"/>
      <c r="R176" s="1"/>
    </row>
    <row r="177" spans="1:18" ht="12.6" customHeight="1" x14ac:dyDescent="0.2">
      <c r="A177" s="2"/>
      <c r="B177" s="162"/>
      <c r="C177" s="208"/>
      <c r="D177" s="21"/>
      <c r="E177" s="208"/>
      <c r="F177" s="208"/>
      <c r="G177" s="21"/>
      <c r="H177" s="14"/>
      <c r="I177" s="14"/>
      <c r="J177" s="208"/>
      <c r="K177" s="21"/>
      <c r="L177" s="14"/>
      <c r="M177" s="14"/>
      <c r="N177" s="14"/>
      <c r="O177" s="21"/>
      <c r="P177" s="163"/>
      <c r="Q177" s="3"/>
      <c r="R177" s="1"/>
    </row>
    <row r="178" spans="1:18" ht="12.6" customHeight="1" x14ac:dyDescent="0.2">
      <c r="A178" s="2"/>
      <c r="B178" s="162"/>
      <c r="C178" s="33"/>
      <c r="D178" s="38"/>
      <c r="E178" s="33"/>
      <c r="F178" s="33"/>
      <c r="G178" s="38"/>
      <c r="H178" s="28"/>
      <c r="I178" s="28"/>
      <c r="J178" s="33"/>
      <c r="K178" s="38"/>
      <c r="L178" s="28"/>
      <c r="M178" s="28"/>
      <c r="N178" s="28"/>
      <c r="O178" s="38"/>
      <c r="P178" s="163"/>
      <c r="Q178" s="3"/>
      <c r="R178" s="1"/>
    </row>
    <row r="179" spans="1:18" ht="12.6" customHeight="1" x14ac:dyDescent="0.2">
      <c r="A179" s="2"/>
      <c r="B179" s="162"/>
      <c r="C179" s="208"/>
      <c r="D179" s="21"/>
      <c r="E179" s="208"/>
      <c r="F179" s="208"/>
      <c r="G179" s="21"/>
      <c r="H179" s="28"/>
      <c r="I179" s="14"/>
      <c r="J179" s="33"/>
      <c r="K179" s="38"/>
      <c r="L179" s="28"/>
      <c r="M179" s="28"/>
      <c r="N179" s="28"/>
      <c r="O179" s="38"/>
      <c r="P179" s="163"/>
      <c r="Q179" s="3"/>
      <c r="R179" s="1"/>
    </row>
    <row r="180" spans="1:18" ht="12.6" customHeight="1" x14ac:dyDescent="0.2">
      <c r="A180" s="2"/>
      <c r="B180" s="162"/>
      <c r="C180" s="208"/>
      <c r="D180" s="21"/>
      <c r="E180" s="208"/>
      <c r="F180" s="208"/>
      <c r="G180" s="21"/>
      <c r="H180" s="14"/>
      <c r="I180" s="14"/>
      <c r="J180" s="208"/>
      <c r="K180" s="21"/>
      <c r="L180" s="14"/>
      <c r="M180" s="14"/>
      <c r="N180" s="14"/>
      <c r="O180" s="21"/>
      <c r="P180" s="163"/>
      <c r="Q180" s="3"/>
      <c r="R180" s="1"/>
    </row>
    <row r="181" spans="1:18" ht="12.6" customHeight="1" x14ac:dyDescent="0.2">
      <c r="A181" s="2"/>
      <c r="B181" s="162"/>
      <c r="C181" s="33"/>
      <c r="D181" s="38"/>
      <c r="E181" s="33"/>
      <c r="F181" s="33"/>
      <c r="G181" s="38"/>
      <c r="H181" s="28"/>
      <c r="I181" s="28"/>
      <c r="J181" s="33"/>
      <c r="K181" s="38"/>
      <c r="L181" s="28"/>
      <c r="M181" s="28"/>
      <c r="N181" s="28"/>
      <c r="O181" s="38"/>
      <c r="P181" s="163"/>
      <c r="Q181" s="3"/>
      <c r="R181" s="1"/>
    </row>
    <row r="182" spans="1:18" ht="12.6" customHeight="1" x14ac:dyDescent="0.2">
      <c r="A182" s="2"/>
      <c r="B182" s="162"/>
      <c r="C182" s="208"/>
      <c r="D182" s="21"/>
      <c r="E182" s="208"/>
      <c r="F182" s="208"/>
      <c r="G182" s="21"/>
      <c r="H182" s="28"/>
      <c r="I182" s="14"/>
      <c r="J182" s="33"/>
      <c r="K182" s="38"/>
      <c r="L182" s="28"/>
      <c r="M182" s="28"/>
      <c r="N182" s="28"/>
      <c r="O182" s="38"/>
      <c r="P182" s="163"/>
      <c r="Q182" s="3"/>
      <c r="R182" s="1"/>
    </row>
    <row r="183" spans="1:18" ht="12.6" customHeight="1" x14ac:dyDescent="0.2">
      <c r="A183" s="2"/>
      <c r="B183" s="162"/>
      <c r="C183" s="208"/>
      <c r="D183" s="21"/>
      <c r="E183" s="208"/>
      <c r="F183" s="208"/>
      <c r="G183" s="21"/>
      <c r="H183" s="14"/>
      <c r="I183" s="14"/>
      <c r="J183" s="208"/>
      <c r="K183" s="21"/>
      <c r="L183" s="14"/>
      <c r="M183" s="14"/>
      <c r="N183" s="14"/>
      <c r="O183" s="21"/>
      <c r="P183" s="163"/>
      <c r="Q183" s="3"/>
      <c r="R183" s="1"/>
    </row>
    <row r="184" spans="1:18" ht="12.6" customHeight="1" x14ac:dyDescent="0.2">
      <c r="A184" s="2"/>
      <c r="B184" s="162"/>
      <c r="C184" s="208"/>
      <c r="D184" s="21"/>
      <c r="E184" s="208"/>
      <c r="F184" s="208"/>
      <c r="G184" s="21"/>
      <c r="H184" s="14"/>
      <c r="I184" s="14"/>
      <c r="J184" s="208"/>
      <c r="K184" s="21"/>
      <c r="L184" s="14"/>
      <c r="M184" s="14"/>
      <c r="N184" s="14"/>
      <c r="O184" s="21"/>
      <c r="P184" s="163"/>
      <c r="Q184" s="3"/>
      <c r="R184" s="1"/>
    </row>
    <row r="185" spans="1:18" ht="12.6" customHeight="1" x14ac:dyDescent="0.2">
      <c r="A185" s="2"/>
      <c r="B185" s="162"/>
      <c r="C185" s="33"/>
      <c r="D185" s="38"/>
      <c r="E185" s="33"/>
      <c r="F185" s="33"/>
      <c r="G185" s="38"/>
      <c r="H185" s="28"/>
      <c r="I185" s="28"/>
      <c r="J185" s="33"/>
      <c r="K185" s="38"/>
      <c r="L185" s="28"/>
      <c r="M185" s="28"/>
      <c r="N185" s="28"/>
      <c r="O185" s="38"/>
      <c r="P185" s="163"/>
      <c r="Q185" s="3"/>
      <c r="R185" s="1"/>
    </row>
    <row r="186" spans="1:18" ht="12.6" customHeight="1" x14ac:dyDescent="0.2">
      <c r="A186" s="2"/>
      <c r="B186" s="162"/>
      <c r="C186" s="208"/>
      <c r="D186" s="21"/>
      <c r="E186" s="208"/>
      <c r="F186" s="208"/>
      <c r="G186" s="21"/>
      <c r="H186" s="28"/>
      <c r="I186" s="14"/>
      <c r="J186" s="33"/>
      <c r="K186" s="38"/>
      <c r="L186" s="28"/>
      <c r="M186" s="28"/>
      <c r="N186" s="28"/>
      <c r="O186" s="38"/>
      <c r="P186" s="163"/>
      <c r="Q186" s="3"/>
      <c r="R186" s="1"/>
    </row>
    <row r="187" spans="1:18" ht="12.6" customHeight="1" x14ac:dyDescent="0.2">
      <c r="A187" s="2"/>
      <c r="B187" s="162"/>
      <c r="C187" s="208"/>
      <c r="D187" s="21"/>
      <c r="E187" s="208"/>
      <c r="F187" s="208"/>
      <c r="G187" s="21"/>
      <c r="H187" s="14"/>
      <c r="I187" s="14"/>
      <c r="J187" s="208"/>
      <c r="K187" s="21"/>
      <c r="L187" s="14"/>
      <c r="M187" s="14"/>
      <c r="N187" s="14"/>
      <c r="O187" s="21"/>
      <c r="P187" s="163"/>
      <c r="Q187" s="3"/>
      <c r="R187" s="1"/>
    </row>
    <row r="188" spans="1:18" ht="12.6" customHeight="1" x14ac:dyDescent="0.2">
      <c r="A188" s="2"/>
      <c r="B188" s="162"/>
      <c r="C188" s="33"/>
      <c r="D188" s="38"/>
      <c r="E188" s="33"/>
      <c r="F188" s="33"/>
      <c r="G188" s="38"/>
      <c r="H188" s="28"/>
      <c r="I188" s="28"/>
      <c r="J188" s="33"/>
      <c r="K188" s="38"/>
      <c r="L188" s="28"/>
      <c r="M188" s="28"/>
      <c r="N188" s="28"/>
      <c r="O188" s="38"/>
      <c r="P188" s="163"/>
      <c r="Q188" s="3"/>
      <c r="R188" s="1"/>
    </row>
    <row r="189" spans="1:18" ht="12.6" customHeight="1" x14ac:dyDescent="0.2">
      <c r="A189" s="2"/>
      <c r="B189" s="162"/>
      <c r="C189" s="208"/>
      <c r="D189" s="21"/>
      <c r="E189" s="208"/>
      <c r="F189" s="208"/>
      <c r="G189" s="21"/>
      <c r="H189" s="28"/>
      <c r="I189" s="14"/>
      <c r="J189" s="33"/>
      <c r="K189" s="38"/>
      <c r="L189" s="28"/>
      <c r="M189" s="28"/>
      <c r="N189" s="28"/>
      <c r="O189" s="38"/>
      <c r="P189" s="163"/>
      <c r="Q189" s="3"/>
      <c r="R189" s="1"/>
    </row>
    <row r="190" spans="1:18" ht="12.6" customHeight="1" x14ac:dyDescent="0.2">
      <c r="A190" s="2"/>
      <c r="B190" s="162"/>
      <c r="C190" s="208"/>
      <c r="D190" s="21"/>
      <c r="E190" s="208"/>
      <c r="F190" s="208"/>
      <c r="G190" s="21"/>
      <c r="H190" s="14"/>
      <c r="I190" s="14"/>
      <c r="J190" s="208"/>
      <c r="K190" s="21"/>
      <c r="L190" s="14"/>
      <c r="M190" s="14"/>
      <c r="N190" s="14"/>
      <c r="O190" s="21"/>
      <c r="P190" s="163"/>
      <c r="Q190" s="3"/>
      <c r="R190" s="1"/>
    </row>
    <row r="191" spans="1:18" ht="12.6" customHeight="1" x14ac:dyDescent="0.2">
      <c r="A191" s="2"/>
      <c r="B191" s="162"/>
      <c r="C191" s="208"/>
      <c r="D191" s="21"/>
      <c r="E191" s="208"/>
      <c r="F191" s="208"/>
      <c r="G191" s="21"/>
      <c r="H191" s="14"/>
      <c r="I191" s="14"/>
      <c r="J191" s="208"/>
      <c r="K191" s="21"/>
      <c r="L191" s="14"/>
      <c r="M191" s="14"/>
      <c r="N191" s="14"/>
      <c r="O191" s="21"/>
      <c r="P191" s="163"/>
      <c r="Q191" s="3"/>
      <c r="R191" s="1"/>
    </row>
    <row r="192" spans="1:18" ht="12.6" customHeight="1" x14ac:dyDescent="0.2">
      <c r="A192" s="2"/>
      <c r="B192" s="162"/>
      <c r="C192" s="33"/>
      <c r="D192" s="38"/>
      <c r="E192" s="33"/>
      <c r="F192" s="33"/>
      <c r="G192" s="38"/>
      <c r="H192" s="28"/>
      <c r="I192" s="28"/>
      <c r="J192" s="33"/>
      <c r="K192" s="38"/>
      <c r="L192" s="28"/>
      <c r="M192" s="28"/>
      <c r="N192" s="28"/>
      <c r="O192" s="38"/>
      <c r="P192" s="163"/>
      <c r="Q192" s="3"/>
      <c r="R192" s="1"/>
    </row>
    <row r="193" spans="1:18" ht="12.6" customHeight="1" x14ac:dyDescent="0.2">
      <c r="A193" s="2"/>
      <c r="B193" s="162"/>
      <c r="C193" s="208"/>
      <c r="D193" s="21"/>
      <c r="E193" s="208"/>
      <c r="F193" s="208"/>
      <c r="G193" s="21"/>
      <c r="H193" s="28"/>
      <c r="I193" s="14"/>
      <c r="J193" s="33"/>
      <c r="K193" s="38"/>
      <c r="L193" s="28"/>
      <c r="M193" s="28"/>
      <c r="N193" s="28"/>
      <c r="O193" s="38"/>
      <c r="P193" s="163"/>
      <c r="Q193" s="3"/>
      <c r="R193" s="1"/>
    </row>
    <row r="194" spans="1:18" ht="12.6" customHeight="1" x14ac:dyDescent="0.2">
      <c r="A194" s="2"/>
      <c r="B194" s="162"/>
      <c r="C194" s="208"/>
      <c r="D194" s="21"/>
      <c r="E194" s="208"/>
      <c r="F194" s="208"/>
      <c r="G194" s="21"/>
      <c r="H194" s="14"/>
      <c r="I194" s="14"/>
      <c r="J194" s="208"/>
      <c r="K194" s="21"/>
      <c r="L194" s="14"/>
      <c r="M194" s="14"/>
      <c r="N194" s="14"/>
      <c r="O194" s="21"/>
      <c r="P194" s="163"/>
      <c r="Q194" s="3"/>
      <c r="R194" s="1"/>
    </row>
    <row r="195" spans="1:18" ht="12.6" customHeight="1" x14ac:dyDescent="0.2">
      <c r="A195" s="2"/>
      <c r="B195" s="162"/>
      <c r="C195" s="33"/>
      <c r="D195" s="38"/>
      <c r="E195" s="33"/>
      <c r="F195" s="33"/>
      <c r="G195" s="38"/>
      <c r="H195" s="28"/>
      <c r="I195" s="28"/>
      <c r="J195" s="33"/>
      <c r="K195" s="38"/>
      <c r="L195" s="28"/>
      <c r="M195" s="28"/>
      <c r="N195" s="28"/>
      <c r="O195" s="38"/>
      <c r="P195" s="163"/>
      <c r="Q195" s="3"/>
      <c r="R195" s="1"/>
    </row>
    <row r="196" spans="1:18" ht="12.6" customHeight="1" x14ac:dyDescent="0.2">
      <c r="A196" s="2"/>
      <c r="B196" s="162"/>
      <c r="C196" s="208"/>
      <c r="D196" s="21"/>
      <c r="E196" s="208"/>
      <c r="F196" s="208"/>
      <c r="G196" s="21"/>
      <c r="H196" s="28"/>
      <c r="I196" s="14"/>
      <c r="J196" s="33"/>
      <c r="K196" s="38"/>
      <c r="L196" s="28"/>
      <c r="M196" s="28"/>
      <c r="N196" s="28"/>
      <c r="O196" s="38"/>
      <c r="P196" s="163"/>
      <c r="Q196" s="3"/>
      <c r="R196" s="1"/>
    </row>
    <row r="197" spans="1:18" ht="12.6" customHeight="1" x14ac:dyDescent="0.2">
      <c r="A197" s="2"/>
      <c r="B197" s="162"/>
      <c r="C197" s="208"/>
      <c r="D197" s="21"/>
      <c r="E197" s="208"/>
      <c r="F197" s="208"/>
      <c r="G197" s="21"/>
      <c r="H197" s="14"/>
      <c r="I197" s="14"/>
      <c r="J197" s="208"/>
      <c r="K197" s="21"/>
      <c r="L197" s="14"/>
      <c r="M197" s="14"/>
      <c r="N197" s="14"/>
      <c r="O197" s="21"/>
      <c r="P197" s="163"/>
      <c r="Q197" s="3"/>
      <c r="R197" s="1"/>
    </row>
    <row r="198" spans="1:18" ht="12.6" customHeight="1" x14ac:dyDescent="0.2">
      <c r="A198" s="2"/>
      <c r="B198" s="162"/>
      <c r="C198" s="208"/>
      <c r="D198" s="21"/>
      <c r="E198" s="208"/>
      <c r="F198" s="208"/>
      <c r="G198" s="21"/>
      <c r="H198" s="14"/>
      <c r="I198" s="14"/>
      <c r="J198" s="208"/>
      <c r="K198" s="21"/>
      <c r="L198" s="14"/>
      <c r="M198" s="14"/>
      <c r="N198" s="14"/>
      <c r="O198" s="21"/>
      <c r="P198" s="163"/>
      <c r="Q198" s="3"/>
      <c r="R198" s="1"/>
    </row>
    <row r="199" spans="1:18" ht="12.6" customHeight="1" x14ac:dyDescent="0.2">
      <c r="A199" s="2"/>
      <c r="B199" s="162"/>
      <c r="C199" s="33"/>
      <c r="D199" s="38"/>
      <c r="E199" s="33"/>
      <c r="F199" s="33"/>
      <c r="G199" s="38"/>
      <c r="H199" s="28"/>
      <c r="I199" s="28"/>
      <c r="J199" s="33"/>
      <c r="K199" s="38"/>
      <c r="L199" s="28"/>
      <c r="M199" s="28"/>
      <c r="N199" s="28"/>
      <c r="O199" s="38"/>
      <c r="P199" s="163"/>
      <c r="Q199" s="3"/>
      <c r="R199" s="1"/>
    </row>
    <row r="200" spans="1:18" ht="12.6" customHeight="1" x14ac:dyDescent="0.2">
      <c r="A200" s="2"/>
      <c r="B200" s="162"/>
      <c r="C200" s="208"/>
      <c r="D200" s="21"/>
      <c r="E200" s="208"/>
      <c r="F200" s="208"/>
      <c r="G200" s="21"/>
      <c r="H200" s="28"/>
      <c r="I200" s="14"/>
      <c r="J200" s="33"/>
      <c r="K200" s="38"/>
      <c r="L200" s="28"/>
      <c r="M200" s="28"/>
      <c r="N200" s="28"/>
      <c r="O200" s="38"/>
      <c r="P200" s="163"/>
      <c r="Q200" s="3"/>
      <c r="R200" s="1"/>
    </row>
    <row r="201" spans="1:18" ht="12.6" customHeight="1" x14ac:dyDescent="0.2">
      <c r="A201" s="2"/>
      <c r="B201" s="162"/>
      <c r="C201" s="33"/>
      <c r="D201" s="38"/>
      <c r="E201" s="33"/>
      <c r="F201" s="33"/>
      <c r="G201" s="38"/>
      <c r="H201" s="28"/>
      <c r="I201" s="28"/>
      <c r="J201" s="33"/>
      <c r="K201" s="38"/>
      <c r="L201" s="28"/>
      <c r="M201" s="28"/>
      <c r="N201" s="28"/>
      <c r="O201" s="38"/>
      <c r="P201" s="163"/>
      <c r="Q201" s="3"/>
      <c r="R201" s="1"/>
    </row>
    <row r="202" spans="1:18" ht="12.6" customHeight="1" x14ac:dyDescent="0.2">
      <c r="A202" s="2"/>
      <c r="B202" s="162"/>
      <c r="C202" s="208"/>
      <c r="D202" s="21"/>
      <c r="E202" s="208"/>
      <c r="F202" s="208"/>
      <c r="G202" s="21"/>
      <c r="H202" s="28"/>
      <c r="I202" s="14"/>
      <c r="J202" s="33"/>
      <c r="K202" s="38"/>
      <c r="L202" s="28"/>
      <c r="M202" s="28"/>
      <c r="N202" s="28"/>
      <c r="O202" s="38"/>
      <c r="P202" s="163"/>
      <c r="Q202" s="3"/>
      <c r="R202" s="1"/>
    </row>
    <row r="203" spans="1:18" ht="12.6" customHeight="1" x14ac:dyDescent="0.2">
      <c r="A203" s="2"/>
      <c r="B203" s="162"/>
      <c r="C203" s="208"/>
      <c r="D203" s="21"/>
      <c r="E203" s="208"/>
      <c r="F203" s="208"/>
      <c r="G203" s="21"/>
      <c r="H203" s="14"/>
      <c r="I203" s="14"/>
      <c r="J203" s="208"/>
      <c r="K203" s="21"/>
      <c r="L203" s="14"/>
      <c r="M203" s="14"/>
      <c r="N203" s="14"/>
      <c r="O203" s="21"/>
      <c r="P203" s="163"/>
      <c r="Q203" s="3"/>
      <c r="R203" s="1"/>
    </row>
    <row r="204" spans="1:18" ht="12.6" customHeight="1" x14ac:dyDescent="0.2">
      <c r="A204" s="2"/>
      <c r="B204" s="162"/>
      <c r="C204" s="208"/>
      <c r="D204" s="21"/>
      <c r="E204" s="208"/>
      <c r="F204" s="208"/>
      <c r="G204" s="21"/>
      <c r="H204" s="14"/>
      <c r="I204" s="14"/>
      <c r="J204" s="208"/>
      <c r="K204" s="21"/>
      <c r="L204" s="14"/>
      <c r="M204" s="14"/>
      <c r="N204" s="14"/>
      <c r="O204" s="21"/>
      <c r="P204" s="163"/>
      <c r="Q204" s="3"/>
      <c r="R204" s="1"/>
    </row>
    <row r="205" spans="1:18" ht="12.6" customHeight="1" x14ac:dyDescent="0.2">
      <c r="A205" s="2"/>
      <c r="B205" s="162"/>
      <c r="C205" s="33"/>
      <c r="D205" s="38"/>
      <c r="E205" s="33"/>
      <c r="F205" s="33"/>
      <c r="G205" s="38"/>
      <c r="H205" s="28"/>
      <c r="I205" s="28"/>
      <c r="J205" s="33"/>
      <c r="K205" s="38"/>
      <c r="L205" s="28"/>
      <c r="M205" s="28"/>
      <c r="N205" s="28"/>
      <c r="O205" s="38"/>
      <c r="P205" s="163"/>
      <c r="Q205" s="3"/>
      <c r="R205" s="1"/>
    </row>
    <row r="206" spans="1:18" ht="12.6" customHeight="1" x14ac:dyDescent="0.2">
      <c r="A206" s="2"/>
      <c r="B206" s="162"/>
      <c r="C206" s="208"/>
      <c r="D206" s="21"/>
      <c r="E206" s="208"/>
      <c r="F206" s="208"/>
      <c r="G206" s="21"/>
      <c r="H206" s="28"/>
      <c r="I206" s="14"/>
      <c r="J206" s="33"/>
      <c r="K206" s="38"/>
      <c r="L206" s="28"/>
      <c r="M206" s="28"/>
      <c r="N206" s="28"/>
      <c r="O206" s="38"/>
      <c r="P206" s="163"/>
      <c r="Q206" s="3"/>
      <c r="R206" s="1"/>
    </row>
    <row r="207" spans="1:18" ht="12.6" customHeight="1" x14ac:dyDescent="0.2">
      <c r="A207" s="2"/>
      <c r="B207" s="162"/>
      <c r="C207" s="208"/>
      <c r="D207" s="21"/>
      <c r="E207" s="208"/>
      <c r="F207" s="208"/>
      <c r="G207" s="21"/>
      <c r="H207" s="14"/>
      <c r="I207" s="14"/>
      <c r="J207" s="208"/>
      <c r="K207" s="21"/>
      <c r="L207" s="14"/>
      <c r="M207" s="14"/>
      <c r="N207" s="14"/>
      <c r="O207" s="21"/>
      <c r="P207" s="163"/>
      <c r="Q207" s="3"/>
      <c r="R207" s="1"/>
    </row>
    <row r="208" spans="1:18" ht="12.6" customHeight="1" x14ac:dyDescent="0.2">
      <c r="A208" s="2"/>
      <c r="B208" s="162"/>
      <c r="C208" s="33"/>
      <c r="D208" s="38"/>
      <c r="E208" s="33"/>
      <c r="F208" s="33"/>
      <c r="G208" s="38"/>
      <c r="H208" s="28"/>
      <c r="I208" s="28"/>
      <c r="J208" s="33"/>
      <c r="K208" s="38"/>
      <c r="L208" s="28"/>
      <c r="M208" s="28"/>
      <c r="N208" s="28"/>
      <c r="O208" s="38"/>
      <c r="P208" s="163"/>
      <c r="Q208" s="3"/>
      <c r="R208" s="1"/>
    </row>
    <row r="209" spans="1:18" ht="12.6" customHeight="1" x14ac:dyDescent="0.2">
      <c r="A209" s="2"/>
      <c r="B209" s="162"/>
      <c r="C209" s="208"/>
      <c r="D209" s="21"/>
      <c r="E209" s="208"/>
      <c r="F209" s="208"/>
      <c r="G209" s="21"/>
      <c r="H209" s="28"/>
      <c r="I209" s="14"/>
      <c r="J209" s="33"/>
      <c r="K209" s="38"/>
      <c r="L209" s="28"/>
      <c r="M209" s="28"/>
      <c r="N209" s="28"/>
      <c r="O209" s="38"/>
      <c r="P209" s="163"/>
      <c r="Q209" s="3"/>
      <c r="R209" s="1"/>
    </row>
    <row r="210" spans="1:18" ht="12.6" customHeight="1" x14ac:dyDescent="0.2">
      <c r="A210" s="2"/>
      <c r="B210" s="162"/>
      <c r="C210" s="208"/>
      <c r="D210" s="21"/>
      <c r="E210" s="208"/>
      <c r="F210" s="208"/>
      <c r="G210" s="21"/>
      <c r="H210" s="14"/>
      <c r="I210" s="14"/>
      <c r="J210" s="208"/>
      <c r="K210" s="21"/>
      <c r="L210" s="14"/>
      <c r="M210" s="14"/>
      <c r="N210" s="14"/>
      <c r="O210" s="21"/>
      <c r="P210" s="163"/>
      <c r="Q210" s="3"/>
      <c r="R210" s="1"/>
    </row>
    <row r="211" spans="1:18" ht="12.6" customHeight="1" x14ac:dyDescent="0.2">
      <c r="A211" s="2"/>
      <c r="B211" s="162"/>
      <c r="C211" s="208"/>
      <c r="D211" s="21"/>
      <c r="E211" s="208"/>
      <c r="F211" s="208"/>
      <c r="G211" s="21"/>
      <c r="H211" s="14"/>
      <c r="I211" s="14"/>
      <c r="J211" s="208"/>
      <c r="K211" s="21"/>
      <c r="L211" s="14"/>
      <c r="M211" s="14"/>
      <c r="N211" s="14"/>
      <c r="O211" s="21"/>
      <c r="P211" s="163"/>
      <c r="Q211" s="3"/>
      <c r="R211" s="1"/>
    </row>
    <row r="212" spans="1:18" ht="12.6" customHeight="1" x14ac:dyDescent="0.2">
      <c r="A212" s="2"/>
      <c r="B212" s="162"/>
      <c r="C212" s="208"/>
      <c r="D212" s="21"/>
      <c r="E212" s="208"/>
      <c r="F212" s="208"/>
      <c r="G212" s="21"/>
      <c r="H212" s="14"/>
      <c r="I212" s="14"/>
      <c r="J212" s="208"/>
      <c r="K212" s="21"/>
      <c r="L212" s="14"/>
      <c r="M212" s="14"/>
      <c r="N212" s="14"/>
      <c r="O212" s="21"/>
      <c r="P212" s="163"/>
      <c r="Q212" s="3"/>
      <c r="R212" s="1"/>
    </row>
    <row r="213" spans="1:18" ht="12.6" customHeight="1" x14ac:dyDescent="0.2">
      <c r="A213" s="2"/>
      <c r="B213" s="162"/>
      <c r="C213" s="33"/>
      <c r="D213" s="38"/>
      <c r="E213" s="33"/>
      <c r="F213" s="33"/>
      <c r="G213" s="38"/>
      <c r="H213" s="28"/>
      <c r="I213" s="28"/>
      <c r="J213" s="33"/>
      <c r="K213" s="38"/>
      <c r="L213" s="28"/>
      <c r="M213" s="28"/>
      <c r="N213" s="28"/>
      <c r="O213" s="38"/>
      <c r="P213" s="163"/>
      <c r="Q213" s="3"/>
      <c r="R213" s="1"/>
    </row>
    <row r="214" spans="1:18" ht="12.6" customHeight="1" x14ac:dyDescent="0.2">
      <c r="A214" s="2"/>
      <c r="B214" s="162"/>
      <c r="C214" s="208"/>
      <c r="D214" s="21"/>
      <c r="E214" s="208"/>
      <c r="F214" s="208"/>
      <c r="G214" s="21"/>
      <c r="H214" s="28"/>
      <c r="I214" s="14"/>
      <c r="J214" s="33"/>
      <c r="K214" s="38"/>
      <c r="L214" s="28"/>
      <c r="M214" s="28"/>
      <c r="N214" s="28"/>
      <c r="O214" s="38"/>
      <c r="P214" s="163"/>
      <c r="Q214" s="3"/>
      <c r="R214" s="1"/>
    </row>
    <row r="215" spans="1:18" ht="12.6" customHeight="1" x14ac:dyDescent="0.2">
      <c r="A215" s="2"/>
      <c r="B215" s="162"/>
      <c r="C215" s="33"/>
      <c r="D215" s="38"/>
      <c r="E215" s="33"/>
      <c r="F215" s="33"/>
      <c r="G215" s="38"/>
      <c r="H215" s="28"/>
      <c r="I215" s="28"/>
      <c r="J215" s="33"/>
      <c r="K215" s="38"/>
      <c r="L215" s="28"/>
      <c r="M215" s="28"/>
      <c r="N215" s="28"/>
      <c r="O215" s="38"/>
      <c r="P215" s="163"/>
      <c r="Q215" s="3"/>
      <c r="R215" s="1"/>
    </row>
    <row r="216" spans="1:18" ht="12.6" customHeight="1" x14ac:dyDescent="0.2">
      <c r="A216" s="2"/>
      <c r="B216" s="162"/>
      <c r="C216" s="208"/>
      <c r="D216" s="21"/>
      <c r="E216" s="208"/>
      <c r="F216" s="208"/>
      <c r="G216" s="21"/>
      <c r="H216" s="28"/>
      <c r="I216" s="14"/>
      <c r="J216" s="33"/>
      <c r="K216" s="38"/>
      <c r="L216" s="28"/>
      <c r="M216" s="28"/>
      <c r="N216" s="28"/>
      <c r="O216" s="38"/>
      <c r="P216" s="163"/>
      <c r="Q216" s="3"/>
      <c r="R216" s="1"/>
    </row>
    <row r="217" spans="1:18" ht="12.6" customHeight="1" x14ac:dyDescent="0.2">
      <c r="A217" s="2"/>
      <c r="B217" s="162"/>
      <c r="C217" s="208"/>
      <c r="D217" s="21"/>
      <c r="E217" s="208"/>
      <c r="F217" s="208"/>
      <c r="G217" s="21"/>
      <c r="H217" s="28"/>
      <c r="I217" s="14"/>
      <c r="J217" s="33"/>
      <c r="K217" s="38"/>
      <c r="L217" s="28"/>
      <c r="M217" s="28"/>
      <c r="N217" s="28"/>
      <c r="O217" s="38"/>
      <c r="P217" s="163"/>
      <c r="Q217" s="3"/>
      <c r="R217" s="1"/>
    </row>
    <row r="218" spans="1:18" ht="12.6" customHeight="1" x14ac:dyDescent="0.2">
      <c r="A218" s="2"/>
      <c r="B218" s="162"/>
      <c r="C218" s="208"/>
      <c r="D218" s="21"/>
      <c r="E218" s="208"/>
      <c r="F218" s="208"/>
      <c r="G218" s="21"/>
      <c r="H218" s="28"/>
      <c r="I218" s="14"/>
      <c r="J218" s="33"/>
      <c r="K218" s="38"/>
      <c r="L218" s="28"/>
      <c r="M218" s="28"/>
      <c r="N218" s="28"/>
      <c r="O218" s="38"/>
      <c r="P218" s="163"/>
      <c r="Q218" s="3"/>
      <c r="R218" s="1"/>
    </row>
    <row r="219" spans="1:18" ht="12.6" customHeight="1" x14ac:dyDescent="0.2">
      <c r="A219" s="2"/>
      <c r="B219" s="162"/>
      <c r="C219" s="208"/>
      <c r="D219" s="21"/>
      <c r="E219" s="208"/>
      <c r="F219" s="208"/>
      <c r="G219" s="21"/>
      <c r="H219" s="28"/>
      <c r="I219" s="14"/>
      <c r="J219" s="33"/>
      <c r="K219" s="38"/>
      <c r="L219" s="28"/>
      <c r="M219" s="28"/>
      <c r="N219" s="28"/>
      <c r="O219" s="38"/>
      <c r="P219" s="163"/>
      <c r="Q219" s="3"/>
      <c r="R219" s="1"/>
    </row>
    <row r="220" spans="1:18" ht="12.6" customHeight="1" x14ac:dyDescent="0.2">
      <c r="A220" s="2"/>
      <c r="B220" s="162"/>
      <c r="C220" s="208"/>
      <c r="D220" s="21"/>
      <c r="E220" s="208"/>
      <c r="F220" s="208"/>
      <c r="G220" s="21"/>
      <c r="H220" s="14"/>
      <c r="I220" s="14"/>
      <c r="J220" s="208"/>
      <c r="K220" s="21"/>
      <c r="L220" s="14"/>
      <c r="M220" s="14"/>
      <c r="N220" s="14"/>
      <c r="O220" s="21"/>
      <c r="P220" s="163"/>
      <c r="Q220" s="3"/>
      <c r="R220" s="1"/>
    </row>
    <row r="221" spans="1:18" ht="12.6" customHeight="1" x14ac:dyDescent="0.2">
      <c r="A221" s="2"/>
      <c r="B221" s="162"/>
      <c r="C221" s="208"/>
      <c r="D221" s="21"/>
      <c r="E221" s="208"/>
      <c r="F221" s="208"/>
      <c r="G221" s="21"/>
      <c r="H221" s="14"/>
      <c r="I221" s="14"/>
      <c r="J221" s="208"/>
      <c r="K221" s="21"/>
      <c r="L221" s="14"/>
      <c r="M221" s="14"/>
      <c r="N221" s="14"/>
      <c r="O221" s="21"/>
      <c r="P221" s="163"/>
      <c r="Q221" s="3"/>
      <c r="R221" s="1"/>
    </row>
    <row r="222" spans="1:18" ht="12.6" customHeight="1" x14ac:dyDescent="0.2">
      <c r="A222" s="2"/>
      <c r="B222" s="162"/>
      <c r="C222" s="33"/>
      <c r="D222" s="38"/>
      <c r="E222" s="33"/>
      <c r="F222" s="33"/>
      <c r="G222" s="38"/>
      <c r="H222" s="28"/>
      <c r="I222" s="28"/>
      <c r="J222" s="33"/>
      <c r="K222" s="38"/>
      <c r="L222" s="28"/>
      <c r="M222" s="28"/>
      <c r="N222" s="28"/>
      <c r="O222" s="38"/>
      <c r="P222" s="163"/>
      <c r="Q222" s="3"/>
      <c r="R222" s="1"/>
    </row>
    <row r="223" spans="1:18" ht="5.0999999999999996" customHeight="1" x14ac:dyDescent="0.2">
      <c r="A223" s="2"/>
      <c r="B223" s="164"/>
      <c r="C223" s="166"/>
      <c r="D223" s="166"/>
      <c r="E223" s="166"/>
      <c r="F223" s="166"/>
      <c r="G223" s="166"/>
      <c r="H223" s="166"/>
      <c r="I223" s="166"/>
      <c r="J223" s="166"/>
      <c r="K223" s="166"/>
      <c r="L223" s="166"/>
      <c r="M223" s="166"/>
      <c r="N223" s="166"/>
      <c r="O223" s="166"/>
      <c r="P223" s="165"/>
      <c r="Q223" s="3"/>
      <c r="R223" s="1"/>
    </row>
    <row r="224" spans="1:18" ht="5.0999999999999996" customHeight="1" x14ac:dyDescent="0.2">
      <c r="A224" s="15"/>
      <c r="B224" s="10"/>
      <c r="C224" s="10"/>
      <c r="D224" s="10"/>
      <c r="E224" s="10"/>
      <c r="F224" s="10"/>
      <c r="G224" s="10"/>
      <c r="H224" s="10"/>
      <c r="I224" s="10"/>
      <c r="J224" s="10"/>
      <c r="K224" s="10"/>
      <c r="L224" s="10"/>
      <c r="M224" s="10"/>
      <c r="N224" s="10"/>
      <c r="O224" s="10"/>
      <c r="P224" s="10"/>
      <c r="Q224" s="18"/>
      <c r="R224"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FC25B-CEF6-48AA-BAD5-49FFE7CCC472}">
  <sheetPr>
    <tabColor rgb="FFFFEBAB"/>
  </sheetPr>
  <dimension ref="A1:O1085"/>
  <sheetViews>
    <sheetView zoomScale="35" zoomScaleNormal="35" workbookViewId="0">
      <selection activeCell="H4" sqref="H4"/>
    </sheetView>
  </sheetViews>
  <sheetFormatPr defaultRowHeight="12" x14ac:dyDescent="0.2"/>
  <cols>
    <col min="1" max="1" width="1.25" style="645" customWidth="1"/>
    <col min="2" max="2" width="30.625" style="645" customWidth="1"/>
    <col min="3" max="3" width="1.25" style="645" customWidth="1"/>
    <col min="4" max="4" width="30.625" style="645" customWidth="1"/>
    <col min="5" max="5" width="1.25" style="645" customWidth="1"/>
    <col min="6" max="6" width="30.625" style="645" customWidth="1"/>
    <col min="7" max="7" width="1.25" style="645" customWidth="1"/>
    <col min="8" max="13" width="10.125" style="645" customWidth="1"/>
    <col min="14" max="14" width="33.5" style="645" customWidth="1"/>
    <col min="15" max="15" width="5.125" style="645" customWidth="1"/>
    <col min="16" max="16384" width="9" style="645"/>
  </cols>
  <sheetData>
    <row r="1" spans="1:15" ht="15" x14ac:dyDescent="0.2">
      <c r="B1" s="646"/>
      <c r="C1" s="647"/>
      <c r="D1" s="648" t="s">
        <v>148</v>
      </c>
      <c r="E1" s="647"/>
      <c r="F1" s="646"/>
      <c r="G1" s="646"/>
      <c r="J1" s="645">
        <f>SUM(J2:J1037)</f>
        <v>1659</v>
      </c>
      <c r="K1" s="645" t="s">
        <v>2333</v>
      </c>
    </row>
    <row r="2" spans="1:15" ht="15" x14ac:dyDescent="0.2">
      <c r="B2" s="646"/>
      <c r="C2" s="649"/>
      <c r="D2" s="650" t="str">
        <f>COUNTA(B6:B26)+COUNTA(D6:D22)+COUNTA(F6:F19)+COUNTA(B30:F41)+COUNTA(B45:F55)&amp;" Total Castings"</f>
        <v>113 Total Castings</v>
      </c>
      <c r="E2" s="649"/>
      <c r="F2" s="646"/>
      <c r="G2" s="646"/>
      <c r="J2" s="645">
        <v>113</v>
      </c>
    </row>
    <row r="3" spans="1:15" x14ac:dyDescent="0.2">
      <c r="A3" s="651"/>
      <c r="B3" s="652"/>
      <c r="C3" s="652"/>
      <c r="D3" s="653"/>
      <c r="E3" s="652"/>
      <c r="F3" s="652"/>
      <c r="G3" s="652"/>
    </row>
    <row r="4" spans="1:15" x14ac:dyDescent="0.2">
      <c r="A4" s="651"/>
      <c r="B4" s="654" t="s">
        <v>2323</v>
      </c>
      <c r="C4" s="655"/>
      <c r="D4" s="654" t="s">
        <v>2324</v>
      </c>
      <c r="E4" s="655"/>
      <c r="F4" s="654" t="s">
        <v>2325</v>
      </c>
      <c r="G4" s="655"/>
      <c r="H4" s="645" t="s">
        <v>3010</v>
      </c>
    </row>
    <row r="5" spans="1:15" x14ac:dyDescent="0.2">
      <c r="A5" s="651"/>
      <c r="B5" s="654" t="s">
        <v>149</v>
      </c>
      <c r="C5" s="655"/>
      <c r="D5" s="654" t="s">
        <v>150</v>
      </c>
      <c r="E5" s="655"/>
      <c r="F5" s="654" t="s">
        <v>151</v>
      </c>
      <c r="G5" s="655"/>
      <c r="H5" s="1001" t="s">
        <v>3011</v>
      </c>
    </row>
    <row r="6" spans="1:15" x14ac:dyDescent="0.2">
      <c r="A6" s="651"/>
      <c r="B6" s="656" t="s">
        <v>152</v>
      </c>
      <c r="C6" s="652"/>
      <c r="D6" s="656" t="s">
        <v>153</v>
      </c>
      <c r="E6" s="652"/>
      <c r="F6" s="656" t="s">
        <v>154</v>
      </c>
      <c r="G6" s="652"/>
      <c r="H6" s="1001" t="s">
        <v>3012</v>
      </c>
    </row>
    <row r="7" spans="1:15" x14ac:dyDescent="0.2">
      <c r="A7" s="651"/>
      <c r="B7" s="657" t="s">
        <v>155</v>
      </c>
      <c r="C7" s="652"/>
      <c r="D7" s="657" t="s">
        <v>156</v>
      </c>
      <c r="E7" s="652"/>
      <c r="F7" s="657" t="s">
        <v>157</v>
      </c>
      <c r="G7" s="652"/>
      <c r="H7" s="1001" t="s">
        <v>3013</v>
      </c>
    </row>
    <row r="8" spans="1:15" x14ac:dyDescent="0.2">
      <c r="A8" s="651"/>
      <c r="B8" s="658" t="s">
        <v>158</v>
      </c>
      <c r="C8" s="652"/>
      <c r="D8" s="658" t="s">
        <v>159</v>
      </c>
      <c r="E8" s="652"/>
      <c r="F8" s="658" t="s">
        <v>160</v>
      </c>
      <c r="G8" s="652"/>
      <c r="H8" s="1001" t="s">
        <v>3014</v>
      </c>
      <c r="I8" s="1001"/>
      <c r="J8" s="1001"/>
      <c r="K8" s="1001"/>
      <c r="L8" s="1001"/>
      <c r="M8" s="1001"/>
      <c r="N8" s="1001"/>
      <c r="O8" s="1001"/>
    </row>
    <row r="9" spans="1:15" x14ac:dyDescent="0.2">
      <c r="A9" s="651"/>
      <c r="B9" s="659" t="s">
        <v>161</v>
      </c>
      <c r="C9" s="652"/>
      <c r="D9" s="659" t="s">
        <v>162</v>
      </c>
      <c r="E9" s="652"/>
      <c r="F9" s="659" t="s">
        <v>163</v>
      </c>
      <c r="G9" s="660"/>
      <c r="H9" s="1001" t="s">
        <v>3015</v>
      </c>
      <c r="I9" s="1001"/>
      <c r="J9" s="1001"/>
      <c r="K9" s="1001"/>
      <c r="L9" s="1001"/>
      <c r="M9" s="1001"/>
      <c r="N9" s="1001"/>
      <c r="O9" s="1001"/>
    </row>
    <row r="10" spans="1:15" x14ac:dyDescent="0.2">
      <c r="A10" s="651"/>
      <c r="B10" s="658" t="s">
        <v>164</v>
      </c>
      <c r="C10" s="652"/>
      <c r="D10" s="658" t="s">
        <v>165</v>
      </c>
      <c r="E10" s="652"/>
      <c r="F10" s="658" t="s">
        <v>166</v>
      </c>
      <c r="G10" s="660"/>
      <c r="H10" s="1001"/>
      <c r="I10" s="1001"/>
      <c r="J10" s="1001"/>
      <c r="K10" s="1001"/>
      <c r="L10" s="1001"/>
      <c r="M10" s="1001"/>
      <c r="N10" s="1001"/>
      <c r="O10" s="1001"/>
    </row>
    <row r="11" spans="1:15" x14ac:dyDescent="0.2">
      <c r="A11" s="651"/>
      <c r="B11" s="657" t="s">
        <v>167</v>
      </c>
      <c r="C11" s="652"/>
      <c r="D11" s="657" t="s">
        <v>168</v>
      </c>
      <c r="E11" s="652"/>
      <c r="F11" s="657" t="s">
        <v>169</v>
      </c>
      <c r="G11" s="652"/>
      <c r="H11" s="1001"/>
    </row>
    <row r="12" spans="1:15" x14ac:dyDescent="0.2">
      <c r="A12" s="651"/>
      <c r="B12" s="658" t="s">
        <v>170</v>
      </c>
      <c r="C12" s="652"/>
      <c r="D12" s="658" t="s">
        <v>171</v>
      </c>
      <c r="E12" s="652"/>
      <c r="F12" s="658" t="s">
        <v>172</v>
      </c>
      <c r="G12" s="652"/>
      <c r="H12" s="1001"/>
    </row>
    <row r="13" spans="1:15" x14ac:dyDescent="0.2">
      <c r="A13" s="651"/>
      <c r="B13" s="657" t="s">
        <v>173</v>
      </c>
      <c r="C13" s="652"/>
      <c r="D13" s="657" t="s">
        <v>174</v>
      </c>
      <c r="E13" s="652"/>
      <c r="F13" s="657" t="s">
        <v>175</v>
      </c>
      <c r="G13" s="652"/>
      <c r="H13" s="1001"/>
    </row>
    <row r="14" spans="1:15" x14ac:dyDescent="0.2">
      <c r="A14" s="651"/>
      <c r="B14" s="658" t="s">
        <v>176</v>
      </c>
      <c r="C14" s="652"/>
      <c r="D14" s="658" t="s">
        <v>177</v>
      </c>
      <c r="E14" s="652"/>
      <c r="F14" s="661" t="s">
        <v>178</v>
      </c>
      <c r="G14" s="652"/>
      <c r="H14" s="1001"/>
    </row>
    <row r="15" spans="1:15" x14ac:dyDescent="0.2">
      <c r="A15" s="651"/>
      <c r="B15" s="657" t="s">
        <v>179</v>
      </c>
      <c r="C15" s="652"/>
      <c r="D15" s="657" t="s">
        <v>180</v>
      </c>
      <c r="E15" s="652"/>
      <c r="F15" s="657" t="s">
        <v>181</v>
      </c>
      <c r="G15" s="652"/>
      <c r="H15" s="1001"/>
    </row>
    <row r="16" spans="1:15" x14ac:dyDescent="0.2">
      <c r="A16" s="651"/>
      <c r="B16" s="658" t="s">
        <v>182</v>
      </c>
      <c r="C16" s="652"/>
      <c r="D16" s="658" t="s">
        <v>183</v>
      </c>
      <c r="E16" s="652"/>
      <c r="F16" s="658" t="s">
        <v>184</v>
      </c>
      <c r="G16" s="652"/>
      <c r="H16" s="1001"/>
    </row>
    <row r="17" spans="1:7" x14ac:dyDescent="0.2">
      <c r="A17" s="651"/>
      <c r="B17" s="657" t="s">
        <v>185</v>
      </c>
      <c r="C17" s="652"/>
      <c r="D17" s="657" t="s">
        <v>186</v>
      </c>
      <c r="E17" s="652"/>
      <c r="F17" s="657" t="s">
        <v>187</v>
      </c>
      <c r="G17" s="652"/>
    </row>
    <row r="18" spans="1:7" x14ac:dyDescent="0.2">
      <c r="A18" s="651"/>
      <c r="B18" s="658" t="s">
        <v>188</v>
      </c>
      <c r="C18" s="652"/>
      <c r="D18" s="658" t="s">
        <v>189</v>
      </c>
      <c r="E18" s="652"/>
      <c r="F18" s="658" t="s">
        <v>190</v>
      </c>
      <c r="G18" s="652"/>
    </row>
    <row r="19" spans="1:7" x14ac:dyDescent="0.2">
      <c r="A19" s="651"/>
      <c r="B19" s="657" t="s">
        <v>191</v>
      </c>
      <c r="C19" s="652"/>
      <c r="D19" s="657" t="s">
        <v>192</v>
      </c>
      <c r="E19" s="652"/>
      <c r="F19" s="662" t="s">
        <v>193</v>
      </c>
      <c r="G19" s="652"/>
    </row>
    <row r="20" spans="1:7" x14ac:dyDescent="0.2">
      <c r="A20" s="651"/>
      <c r="B20" s="658" t="s">
        <v>194</v>
      </c>
      <c r="C20" s="652"/>
      <c r="D20" s="658" t="s">
        <v>195</v>
      </c>
      <c r="E20" s="652"/>
      <c r="F20" s="652"/>
      <c r="G20" s="652"/>
    </row>
    <row r="21" spans="1:7" x14ac:dyDescent="0.2">
      <c r="A21" s="651"/>
      <c r="B21" s="657" t="s">
        <v>196</v>
      </c>
      <c r="C21" s="652"/>
      <c r="D21" s="657" t="s">
        <v>197</v>
      </c>
      <c r="E21" s="652"/>
      <c r="F21" s="663" t="s">
        <v>2337</v>
      </c>
      <c r="G21" s="652"/>
    </row>
    <row r="22" spans="1:7" x14ac:dyDescent="0.2">
      <c r="A22" s="651"/>
      <c r="B22" s="664" t="s">
        <v>198</v>
      </c>
      <c r="C22" s="652"/>
      <c r="D22" s="665" t="s">
        <v>2231</v>
      </c>
      <c r="E22" s="652"/>
      <c r="F22" s="666" t="s">
        <v>2317</v>
      </c>
      <c r="G22" s="652"/>
    </row>
    <row r="23" spans="1:7" x14ac:dyDescent="0.2">
      <c r="A23" s="651"/>
      <c r="B23" s="657" t="s">
        <v>199</v>
      </c>
      <c r="C23" s="652"/>
      <c r="D23" s="652"/>
      <c r="E23" s="652"/>
      <c r="F23" s="667" t="s">
        <v>139</v>
      </c>
      <c r="G23" s="652"/>
    </row>
    <row r="24" spans="1:7" x14ac:dyDescent="0.2">
      <c r="A24" s="651"/>
      <c r="B24" s="658" t="s">
        <v>200</v>
      </c>
      <c r="C24" s="652"/>
      <c r="D24" s="668" t="s">
        <v>2335</v>
      </c>
      <c r="E24" s="652"/>
      <c r="F24" s="669" t="s">
        <v>140</v>
      </c>
      <c r="G24" s="652"/>
    </row>
    <row r="25" spans="1:7" x14ac:dyDescent="0.2">
      <c r="A25" s="651"/>
      <c r="B25" s="657" t="s">
        <v>201</v>
      </c>
      <c r="C25" s="652"/>
      <c r="D25" s="670" t="s">
        <v>2336</v>
      </c>
      <c r="E25" s="652"/>
      <c r="F25" s="671" t="s">
        <v>2227</v>
      </c>
      <c r="G25" s="652"/>
    </row>
    <row r="26" spans="1:7" x14ac:dyDescent="0.2">
      <c r="A26" s="651"/>
      <c r="B26" s="665" t="s">
        <v>202</v>
      </c>
      <c r="C26" s="652"/>
      <c r="D26" s="672" t="s">
        <v>2334</v>
      </c>
      <c r="E26" s="652"/>
      <c r="F26" s="673" t="s">
        <v>2228</v>
      </c>
      <c r="G26" s="652"/>
    </row>
    <row r="27" spans="1:7" x14ac:dyDescent="0.2">
      <c r="A27" s="651"/>
      <c r="B27" s="652"/>
      <c r="C27" s="652"/>
      <c r="D27" s="652"/>
      <c r="E27" s="652"/>
      <c r="F27" s="651"/>
      <c r="G27" s="652"/>
    </row>
    <row r="28" spans="1:7" x14ac:dyDescent="0.2">
      <c r="A28" s="651"/>
      <c r="B28" s="654" t="s">
        <v>2326</v>
      </c>
      <c r="C28" s="655"/>
      <c r="D28" s="654" t="s">
        <v>2327</v>
      </c>
      <c r="E28" s="655"/>
      <c r="F28" s="654" t="s">
        <v>2328</v>
      </c>
      <c r="G28" s="655"/>
    </row>
    <row r="29" spans="1:7" x14ac:dyDescent="0.2">
      <c r="A29" s="651"/>
      <c r="B29" s="654" t="s">
        <v>2241</v>
      </c>
      <c r="C29" s="655"/>
      <c r="D29" s="654" t="s">
        <v>2234</v>
      </c>
      <c r="E29" s="655"/>
      <c r="F29" s="654" t="s">
        <v>2234</v>
      </c>
      <c r="G29" s="655"/>
    </row>
    <row r="30" spans="1:7" x14ac:dyDescent="0.2">
      <c r="A30" s="651"/>
      <c r="B30" s="656" t="s">
        <v>204</v>
      </c>
      <c r="C30" s="652"/>
      <c r="D30" s="656" t="s">
        <v>205</v>
      </c>
      <c r="E30" s="652"/>
      <c r="F30" s="656" t="s">
        <v>206</v>
      </c>
      <c r="G30" s="652"/>
    </row>
    <row r="31" spans="1:7" x14ac:dyDescent="0.2">
      <c r="A31" s="651"/>
      <c r="B31" s="657" t="s">
        <v>207</v>
      </c>
      <c r="C31" s="652"/>
      <c r="D31" s="657" t="s">
        <v>208</v>
      </c>
      <c r="E31" s="652"/>
      <c r="F31" s="657" t="s">
        <v>209</v>
      </c>
      <c r="G31" s="652"/>
    </row>
    <row r="32" spans="1:7" x14ac:dyDescent="0.2">
      <c r="A32" s="651"/>
      <c r="B32" s="658" t="s">
        <v>210</v>
      </c>
      <c r="C32" s="652"/>
      <c r="D32" s="658" t="s">
        <v>211</v>
      </c>
      <c r="E32" s="652"/>
      <c r="F32" s="658" t="s">
        <v>212</v>
      </c>
      <c r="G32" s="652"/>
    </row>
    <row r="33" spans="1:7" x14ac:dyDescent="0.2">
      <c r="A33" s="651"/>
      <c r="B33" s="657" t="s">
        <v>213</v>
      </c>
      <c r="C33" s="652"/>
      <c r="D33" s="657" t="s">
        <v>214</v>
      </c>
      <c r="E33" s="652"/>
      <c r="F33" s="657" t="s">
        <v>215</v>
      </c>
      <c r="G33" s="652"/>
    </row>
    <row r="34" spans="1:7" x14ac:dyDescent="0.2">
      <c r="A34" s="651"/>
      <c r="B34" s="661" t="s">
        <v>521</v>
      </c>
      <c r="C34" s="652"/>
      <c r="D34" s="658" t="s">
        <v>217</v>
      </c>
      <c r="E34" s="652"/>
      <c r="F34" s="658" t="s">
        <v>218</v>
      </c>
      <c r="G34" s="652"/>
    </row>
    <row r="35" spans="1:7" x14ac:dyDescent="0.2">
      <c r="A35" s="651"/>
      <c r="B35" s="657" t="s">
        <v>216</v>
      </c>
      <c r="C35" s="652"/>
      <c r="D35" s="657" t="s">
        <v>220</v>
      </c>
      <c r="E35" s="652"/>
      <c r="F35" s="657" t="s">
        <v>221</v>
      </c>
      <c r="G35" s="652"/>
    </row>
    <row r="36" spans="1:7" x14ac:dyDescent="0.2">
      <c r="A36" s="651"/>
      <c r="B36" s="658" t="s">
        <v>219</v>
      </c>
      <c r="C36" s="652"/>
      <c r="D36" s="658" t="s">
        <v>223</v>
      </c>
      <c r="E36" s="652"/>
      <c r="F36" s="658" t="s">
        <v>224</v>
      </c>
      <c r="G36" s="652"/>
    </row>
    <row r="37" spans="1:7" x14ac:dyDescent="0.2">
      <c r="A37" s="651"/>
      <c r="B37" s="657" t="s">
        <v>222</v>
      </c>
      <c r="C37" s="652"/>
      <c r="D37" s="657" t="s">
        <v>226</v>
      </c>
      <c r="E37" s="652"/>
      <c r="F37" s="674" t="s">
        <v>227</v>
      </c>
      <c r="G37" s="652"/>
    </row>
    <row r="38" spans="1:7" x14ac:dyDescent="0.2">
      <c r="A38" s="651"/>
      <c r="B38" s="661" t="s">
        <v>2232</v>
      </c>
      <c r="C38" s="652"/>
      <c r="D38" s="658" t="s">
        <v>229</v>
      </c>
      <c r="E38" s="652"/>
      <c r="F38" s="658" t="s">
        <v>230</v>
      </c>
      <c r="G38" s="652"/>
    </row>
    <row r="39" spans="1:7" x14ac:dyDescent="0.2">
      <c r="A39" s="651"/>
      <c r="B39" s="657" t="s">
        <v>225</v>
      </c>
      <c r="C39" s="652"/>
      <c r="D39" s="675" t="s">
        <v>296</v>
      </c>
      <c r="E39" s="652"/>
      <c r="F39" s="662" t="s">
        <v>232</v>
      </c>
      <c r="G39" s="652"/>
    </row>
    <row r="40" spans="1:7" x14ac:dyDescent="0.2">
      <c r="A40" s="651"/>
      <c r="B40" s="658" t="s">
        <v>228</v>
      </c>
      <c r="C40" s="652"/>
      <c r="D40" s="652"/>
      <c r="E40" s="652"/>
      <c r="F40" s="652"/>
      <c r="G40" s="652"/>
    </row>
    <row r="41" spans="1:7" x14ac:dyDescent="0.2">
      <c r="A41" s="651"/>
      <c r="B41" s="662" t="s">
        <v>231</v>
      </c>
      <c r="C41" s="652"/>
      <c r="D41" s="652"/>
      <c r="E41" s="652"/>
      <c r="F41" s="652"/>
      <c r="G41" s="652"/>
    </row>
    <row r="42" spans="1:7" x14ac:dyDescent="0.2">
      <c r="A42" s="651"/>
      <c r="B42" s="652"/>
      <c r="C42" s="652"/>
      <c r="D42" s="652"/>
      <c r="E42" s="652"/>
      <c r="F42" s="652"/>
      <c r="G42" s="652"/>
    </row>
    <row r="43" spans="1:7" x14ac:dyDescent="0.2">
      <c r="A43" s="651"/>
      <c r="B43" s="654" t="s">
        <v>2329</v>
      </c>
      <c r="C43" s="655"/>
      <c r="D43" s="654" t="s">
        <v>2330</v>
      </c>
      <c r="E43" s="655"/>
      <c r="F43" s="654" t="s">
        <v>2331</v>
      </c>
      <c r="G43" s="655"/>
    </row>
    <row r="44" spans="1:7" x14ac:dyDescent="0.2">
      <c r="A44" s="651"/>
      <c r="B44" s="654" t="s">
        <v>2234</v>
      </c>
      <c r="C44" s="655"/>
      <c r="D44" s="654" t="s">
        <v>2235</v>
      </c>
      <c r="E44" s="655"/>
      <c r="F44" s="654" t="s">
        <v>1252</v>
      </c>
      <c r="G44" s="655"/>
    </row>
    <row r="45" spans="1:7" x14ac:dyDescent="0.2">
      <c r="A45" s="651"/>
      <c r="B45" s="656" t="s">
        <v>233</v>
      </c>
      <c r="C45" s="652"/>
      <c r="D45" s="656" t="s">
        <v>234</v>
      </c>
      <c r="E45" s="652"/>
      <c r="F45" s="656" t="s">
        <v>235</v>
      </c>
      <c r="G45" s="652"/>
    </row>
    <row r="46" spans="1:7" x14ac:dyDescent="0.2">
      <c r="A46" s="651"/>
      <c r="B46" s="657" t="s">
        <v>236</v>
      </c>
      <c r="C46" s="652"/>
      <c r="D46" s="657" t="s">
        <v>237</v>
      </c>
      <c r="E46" s="652"/>
      <c r="F46" s="657" t="s">
        <v>238</v>
      </c>
      <c r="G46" s="652"/>
    </row>
    <row r="47" spans="1:7" x14ac:dyDescent="0.2">
      <c r="A47" s="651"/>
      <c r="B47" s="658" t="s">
        <v>239</v>
      </c>
      <c r="C47" s="652"/>
      <c r="D47" s="658" t="s">
        <v>240</v>
      </c>
      <c r="E47" s="652"/>
      <c r="F47" s="658" t="s">
        <v>241</v>
      </c>
      <c r="G47" s="652"/>
    </row>
    <row r="48" spans="1:7" x14ac:dyDescent="0.2">
      <c r="A48" s="651"/>
      <c r="B48" s="657" t="s">
        <v>242</v>
      </c>
      <c r="C48" s="652"/>
      <c r="D48" s="657" t="s">
        <v>243</v>
      </c>
      <c r="E48" s="652"/>
      <c r="F48" s="657" t="s">
        <v>244</v>
      </c>
      <c r="G48" s="652"/>
    </row>
    <row r="49" spans="1:10" x14ac:dyDescent="0.2">
      <c r="A49" s="651"/>
      <c r="B49" s="658" t="s">
        <v>245</v>
      </c>
      <c r="C49" s="652"/>
      <c r="D49" s="658" t="s">
        <v>246</v>
      </c>
      <c r="E49" s="652"/>
      <c r="F49" s="658" t="s">
        <v>247</v>
      </c>
      <c r="G49" s="652"/>
    </row>
    <row r="50" spans="1:10" x14ac:dyDescent="0.2">
      <c r="A50" s="651"/>
      <c r="B50" s="657" t="s">
        <v>248</v>
      </c>
      <c r="C50" s="652"/>
      <c r="D50" s="657" t="s">
        <v>249</v>
      </c>
      <c r="E50" s="652"/>
      <c r="F50" s="657" t="s">
        <v>250</v>
      </c>
      <c r="G50" s="652"/>
    </row>
    <row r="51" spans="1:10" x14ac:dyDescent="0.2">
      <c r="A51" s="651"/>
      <c r="B51" s="658" t="s">
        <v>251</v>
      </c>
      <c r="C51" s="652"/>
      <c r="D51" s="658" t="s">
        <v>252</v>
      </c>
      <c r="E51" s="652"/>
      <c r="F51" s="661" t="s">
        <v>2258</v>
      </c>
      <c r="G51" s="652"/>
    </row>
    <row r="52" spans="1:10" x14ac:dyDescent="0.2">
      <c r="A52" s="651"/>
      <c r="B52" s="657" t="s">
        <v>254</v>
      </c>
      <c r="C52" s="652"/>
      <c r="D52" s="657" t="s">
        <v>255</v>
      </c>
      <c r="E52" s="652"/>
      <c r="F52" s="662" t="s">
        <v>253</v>
      </c>
      <c r="G52" s="652"/>
    </row>
    <row r="53" spans="1:10" x14ac:dyDescent="0.2">
      <c r="A53" s="651"/>
      <c r="B53" s="658" t="s">
        <v>256</v>
      </c>
      <c r="C53" s="652"/>
      <c r="D53" s="658" t="s">
        <v>257</v>
      </c>
      <c r="E53" s="652"/>
      <c r="F53" s="652"/>
      <c r="G53" s="652"/>
    </row>
    <row r="54" spans="1:10" x14ac:dyDescent="0.2">
      <c r="A54" s="651"/>
      <c r="B54" s="662" t="s">
        <v>258</v>
      </c>
      <c r="C54" s="652"/>
      <c r="D54" s="657" t="s">
        <v>259</v>
      </c>
      <c r="E54" s="652"/>
      <c r="F54" s="652"/>
      <c r="G54" s="652"/>
    </row>
    <row r="55" spans="1:10" x14ac:dyDescent="0.2">
      <c r="A55" s="651"/>
      <c r="B55" s="652"/>
      <c r="C55" s="652"/>
      <c r="D55" s="676" t="s">
        <v>2257</v>
      </c>
      <c r="E55" s="652"/>
      <c r="F55" s="652"/>
      <c r="G55" s="652"/>
    </row>
    <row r="56" spans="1:10" x14ac:dyDescent="0.2">
      <c r="A56" s="651"/>
      <c r="B56" s="652"/>
      <c r="C56" s="652"/>
      <c r="D56" s="652"/>
      <c r="E56" s="652"/>
      <c r="F56" s="652"/>
      <c r="G56" s="652"/>
    </row>
    <row r="57" spans="1:10" x14ac:dyDescent="0.2">
      <c r="B57" s="646"/>
      <c r="C57" s="646"/>
      <c r="D57" s="646"/>
      <c r="E57" s="646"/>
      <c r="F57" s="646"/>
      <c r="G57" s="646"/>
    </row>
    <row r="58" spans="1:10" ht="15" x14ac:dyDescent="0.2">
      <c r="B58" s="677"/>
      <c r="C58" s="678"/>
      <c r="D58" s="648" t="s">
        <v>260</v>
      </c>
      <c r="E58" s="678"/>
      <c r="F58" s="677"/>
      <c r="G58" s="679"/>
    </row>
    <row r="59" spans="1:10" ht="15" x14ac:dyDescent="0.2">
      <c r="B59" s="677"/>
      <c r="C59" s="680"/>
      <c r="D59" s="650" t="str">
        <f>COUNTA(B63:F69)+COUNTA(B75:F81)+COUNTA(B87:F92)&amp;" Total Castings"</f>
        <v>57 Total Castings</v>
      </c>
      <c r="E59" s="680"/>
      <c r="F59" s="677"/>
      <c r="G59" s="679"/>
      <c r="J59" s="645">
        <v>57</v>
      </c>
    </row>
    <row r="60" spans="1:10" x14ac:dyDescent="0.2">
      <c r="B60" s="646"/>
      <c r="C60" s="646"/>
      <c r="D60" s="646"/>
      <c r="E60" s="646"/>
      <c r="F60" s="646"/>
      <c r="G60" s="646"/>
    </row>
    <row r="61" spans="1:10" x14ac:dyDescent="0.2">
      <c r="B61" s="681" t="s">
        <v>2323</v>
      </c>
      <c r="C61" s="655"/>
      <c r="D61" s="681" t="s">
        <v>2324</v>
      </c>
      <c r="E61" s="655"/>
      <c r="F61" s="681" t="s">
        <v>2325</v>
      </c>
      <c r="G61" s="679"/>
    </row>
    <row r="62" spans="1:10" x14ac:dyDescent="0.2">
      <c r="B62" s="682" t="s">
        <v>1251</v>
      </c>
      <c r="C62" s="655"/>
      <c r="D62" s="682" t="s">
        <v>2233</v>
      </c>
      <c r="E62" s="655"/>
      <c r="F62" s="682" t="s">
        <v>2233</v>
      </c>
      <c r="G62" s="679"/>
    </row>
    <row r="63" spans="1:10" x14ac:dyDescent="0.2">
      <c r="B63" s="658" t="s">
        <v>261</v>
      </c>
      <c r="C63" s="652"/>
      <c r="D63" s="658" t="s">
        <v>262</v>
      </c>
      <c r="E63" s="652"/>
      <c r="F63" s="661" t="s">
        <v>2259</v>
      </c>
      <c r="G63" s="646"/>
    </row>
    <row r="64" spans="1:10" x14ac:dyDescent="0.2">
      <c r="B64" s="657" t="s">
        <v>264</v>
      </c>
      <c r="C64" s="652"/>
      <c r="D64" s="657" t="s">
        <v>265</v>
      </c>
      <c r="E64" s="652"/>
      <c r="F64" s="657" t="s">
        <v>263</v>
      </c>
      <c r="G64" s="646"/>
    </row>
    <row r="65" spans="2:7" x14ac:dyDescent="0.2">
      <c r="B65" s="658" t="s">
        <v>267</v>
      </c>
      <c r="C65" s="652"/>
      <c r="D65" s="658" t="s">
        <v>268</v>
      </c>
      <c r="E65" s="652"/>
      <c r="F65" s="658" t="s">
        <v>266</v>
      </c>
      <c r="G65" s="646"/>
    </row>
    <row r="66" spans="2:7" x14ac:dyDescent="0.2">
      <c r="B66" s="657" t="s">
        <v>270</v>
      </c>
      <c r="C66" s="652"/>
      <c r="D66" s="659" t="s">
        <v>271</v>
      </c>
      <c r="E66" s="652"/>
      <c r="F66" s="657" t="s">
        <v>269</v>
      </c>
      <c r="G66" s="646"/>
    </row>
    <row r="67" spans="2:7" x14ac:dyDescent="0.2">
      <c r="B67" s="658" t="s">
        <v>273</v>
      </c>
      <c r="C67" s="652"/>
      <c r="D67" s="658" t="s">
        <v>274</v>
      </c>
      <c r="E67" s="652"/>
      <c r="F67" s="658" t="s">
        <v>272</v>
      </c>
      <c r="G67" s="646"/>
    </row>
    <row r="68" spans="2:7" x14ac:dyDescent="0.2">
      <c r="B68" s="657" t="s">
        <v>276</v>
      </c>
      <c r="C68" s="652"/>
      <c r="D68" s="657" t="s">
        <v>277</v>
      </c>
      <c r="E68" s="652"/>
      <c r="F68" s="657" t="s">
        <v>275</v>
      </c>
      <c r="G68" s="646"/>
    </row>
    <row r="69" spans="2:7" x14ac:dyDescent="0.2">
      <c r="B69" s="683"/>
      <c r="C69" s="652"/>
      <c r="D69" s="665" t="s">
        <v>279</v>
      </c>
      <c r="E69" s="652"/>
      <c r="F69" s="665" t="s">
        <v>278</v>
      </c>
      <c r="G69" s="646"/>
    </row>
    <row r="70" spans="2:7" x14ac:dyDescent="0.2">
      <c r="B70" s="652"/>
      <c r="C70" s="652"/>
      <c r="D70" s="684"/>
      <c r="E70" s="652"/>
      <c r="F70" s="684"/>
      <c r="G70" s="646"/>
    </row>
    <row r="71" spans="2:7" x14ac:dyDescent="0.2">
      <c r="B71" s="652"/>
      <c r="C71" s="652"/>
      <c r="D71" s="684"/>
      <c r="E71" s="652"/>
      <c r="F71" s="684"/>
      <c r="G71" s="646"/>
    </row>
    <row r="72" spans="2:7" x14ac:dyDescent="0.2">
      <c r="B72" s="652"/>
      <c r="C72" s="652"/>
      <c r="D72" s="652"/>
      <c r="E72" s="652"/>
      <c r="F72" s="652"/>
      <c r="G72" s="646"/>
    </row>
    <row r="73" spans="2:7" x14ac:dyDescent="0.2">
      <c r="B73" s="681" t="s">
        <v>2326</v>
      </c>
      <c r="C73" s="655"/>
      <c r="D73" s="681" t="s">
        <v>2327</v>
      </c>
      <c r="E73" s="655"/>
      <c r="F73" s="681" t="s">
        <v>2328</v>
      </c>
      <c r="G73" s="679"/>
    </row>
    <row r="74" spans="2:7" x14ac:dyDescent="0.2">
      <c r="B74" s="682" t="s">
        <v>1251</v>
      </c>
      <c r="C74" s="655"/>
      <c r="D74" s="682" t="s">
        <v>2233</v>
      </c>
      <c r="E74" s="655"/>
      <c r="F74" s="682" t="s">
        <v>1251</v>
      </c>
      <c r="G74" s="679"/>
    </row>
    <row r="75" spans="2:7" x14ac:dyDescent="0.2">
      <c r="B75" s="658" t="s">
        <v>280</v>
      </c>
      <c r="C75" s="652"/>
      <c r="D75" s="658" t="s">
        <v>281</v>
      </c>
      <c r="E75" s="652"/>
      <c r="F75" s="658" t="s">
        <v>282</v>
      </c>
      <c r="G75" s="646"/>
    </row>
    <row r="76" spans="2:7" x14ac:dyDescent="0.2">
      <c r="B76" s="657" t="s">
        <v>283</v>
      </c>
      <c r="C76" s="652"/>
      <c r="D76" s="657" t="s">
        <v>284</v>
      </c>
      <c r="E76" s="652"/>
      <c r="F76" s="657" t="s">
        <v>285</v>
      </c>
      <c r="G76" s="646"/>
    </row>
    <row r="77" spans="2:7" x14ac:dyDescent="0.2">
      <c r="B77" s="658" t="s">
        <v>286</v>
      </c>
      <c r="C77" s="652"/>
      <c r="D77" s="661" t="s">
        <v>2260</v>
      </c>
      <c r="E77" s="652"/>
      <c r="F77" s="658" t="s">
        <v>288</v>
      </c>
      <c r="G77" s="646"/>
    </row>
    <row r="78" spans="2:7" x14ac:dyDescent="0.2">
      <c r="B78" s="657" t="s">
        <v>289</v>
      </c>
      <c r="C78" s="652"/>
      <c r="D78" s="657" t="s">
        <v>287</v>
      </c>
      <c r="E78" s="652"/>
      <c r="F78" s="657" t="s">
        <v>291</v>
      </c>
      <c r="G78" s="646"/>
    </row>
    <row r="79" spans="2:7" x14ac:dyDescent="0.2">
      <c r="B79" s="658" t="s">
        <v>292</v>
      </c>
      <c r="C79" s="652"/>
      <c r="D79" s="658" t="s">
        <v>290</v>
      </c>
      <c r="E79" s="652"/>
      <c r="F79" s="658" t="s">
        <v>294</v>
      </c>
      <c r="G79" s="646"/>
    </row>
    <row r="80" spans="2:7" x14ac:dyDescent="0.2">
      <c r="B80" s="662" t="s">
        <v>295</v>
      </c>
      <c r="C80" s="652"/>
      <c r="D80" s="657" t="s">
        <v>293</v>
      </c>
      <c r="E80" s="652"/>
      <c r="F80" s="662" t="s">
        <v>297</v>
      </c>
      <c r="G80" s="646"/>
    </row>
    <row r="81" spans="2:7" x14ac:dyDescent="0.2">
      <c r="B81" s="652"/>
      <c r="C81" s="652"/>
      <c r="D81" s="665" t="s">
        <v>296</v>
      </c>
      <c r="E81" s="652"/>
      <c r="F81" s="652"/>
      <c r="G81" s="646"/>
    </row>
    <row r="82" spans="2:7" x14ac:dyDescent="0.2">
      <c r="B82" s="652"/>
      <c r="C82" s="652"/>
      <c r="D82" s="684"/>
      <c r="E82" s="652"/>
      <c r="F82" s="652"/>
      <c r="G82" s="646"/>
    </row>
    <row r="83" spans="2:7" x14ac:dyDescent="0.2">
      <c r="B83" s="652"/>
      <c r="C83" s="652"/>
      <c r="D83" s="684"/>
      <c r="E83" s="652"/>
      <c r="F83" s="652"/>
      <c r="G83" s="646"/>
    </row>
    <row r="84" spans="2:7" x14ac:dyDescent="0.2">
      <c r="B84" s="652"/>
      <c r="C84" s="652"/>
      <c r="D84" s="652"/>
      <c r="E84" s="652"/>
      <c r="F84" s="652"/>
      <c r="G84" s="646"/>
    </row>
    <row r="85" spans="2:7" x14ac:dyDescent="0.2">
      <c r="B85" s="681" t="s">
        <v>2329</v>
      </c>
      <c r="C85" s="655"/>
      <c r="D85" s="681" t="s">
        <v>2330</v>
      </c>
      <c r="E85" s="655"/>
      <c r="F85" s="681" t="s">
        <v>2331</v>
      </c>
      <c r="G85" s="679"/>
    </row>
    <row r="86" spans="2:7" x14ac:dyDescent="0.2">
      <c r="B86" s="682" t="s">
        <v>1251</v>
      </c>
      <c r="C86" s="655"/>
      <c r="D86" s="682" t="s">
        <v>1251</v>
      </c>
      <c r="E86" s="655"/>
      <c r="F86" s="682" t="s">
        <v>1251</v>
      </c>
      <c r="G86" s="679"/>
    </row>
    <row r="87" spans="2:7" x14ac:dyDescent="0.2">
      <c r="B87" s="658" t="s">
        <v>298</v>
      </c>
      <c r="C87" s="652"/>
      <c r="D87" s="658" t="s">
        <v>299</v>
      </c>
      <c r="E87" s="652"/>
      <c r="F87" s="658" t="s">
        <v>300</v>
      </c>
      <c r="G87" s="646"/>
    </row>
    <row r="88" spans="2:7" x14ac:dyDescent="0.2">
      <c r="B88" s="657" t="s">
        <v>301</v>
      </c>
      <c r="C88" s="652"/>
      <c r="D88" s="657" t="s">
        <v>302</v>
      </c>
      <c r="E88" s="652"/>
      <c r="F88" s="657" t="s">
        <v>303</v>
      </c>
      <c r="G88" s="646"/>
    </row>
    <row r="89" spans="2:7" x14ac:dyDescent="0.2">
      <c r="B89" s="658" t="s">
        <v>304</v>
      </c>
      <c r="C89" s="652"/>
      <c r="D89" s="658" t="s">
        <v>305</v>
      </c>
      <c r="E89" s="652"/>
      <c r="F89" s="658" t="s">
        <v>306</v>
      </c>
      <c r="G89" s="646"/>
    </row>
    <row r="90" spans="2:7" x14ac:dyDescent="0.2">
      <c r="B90" s="657" t="s">
        <v>307</v>
      </c>
      <c r="C90" s="652"/>
      <c r="D90" s="659" t="s">
        <v>2261</v>
      </c>
      <c r="E90" s="652"/>
      <c r="F90" s="657" t="s">
        <v>309</v>
      </c>
      <c r="G90" s="646"/>
    </row>
    <row r="91" spans="2:7" x14ac:dyDescent="0.2">
      <c r="B91" s="658" t="s">
        <v>310</v>
      </c>
      <c r="C91" s="652"/>
      <c r="D91" s="658" t="s">
        <v>308</v>
      </c>
      <c r="E91" s="652"/>
      <c r="F91" s="661" t="s">
        <v>2262</v>
      </c>
      <c r="G91" s="646"/>
    </row>
    <row r="92" spans="2:7" x14ac:dyDescent="0.2">
      <c r="B92" s="662" t="s">
        <v>313</v>
      </c>
      <c r="C92" s="652"/>
      <c r="D92" s="662" t="s">
        <v>311</v>
      </c>
      <c r="E92" s="652"/>
      <c r="F92" s="662" t="s">
        <v>312</v>
      </c>
      <c r="G92" s="646"/>
    </row>
    <row r="93" spans="2:7" x14ac:dyDescent="0.2">
      <c r="B93" s="653"/>
      <c r="C93" s="652"/>
      <c r="D93" s="652"/>
      <c r="E93" s="652"/>
      <c r="F93" s="652"/>
      <c r="G93" s="646"/>
    </row>
    <row r="94" spans="2:7" ht="11.25" customHeight="1" x14ac:dyDescent="0.2">
      <c r="B94" s="685"/>
      <c r="C94" s="646"/>
      <c r="D94" s="646"/>
      <c r="E94" s="646"/>
      <c r="F94" s="646"/>
      <c r="G94" s="646"/>
    </row>
    <row r="95" spans="2:7" x14ac:dyDescent="0.2">
      <c r="B95" s="646"/>
      <c r="C95" s="646"/>
      <c r="D95" s="646"/>
      <c r="E95" s="646"/>
      <c r="F95" s="646"/>
      <c r="G95" s="646"/>
    </row>
    <row r="96" spans="2:7" ht="15" x14ac:dyDescent="0.2">
      <c r="B96" s="686"/>
      <c r="C96" s="687"/>
      <c r="D96" s="648" t="s">
        <v>314</v>
      </c>
      <c r="E96" s="687"/>
      <c r="F96" s="686"/>
      <c r="G96" s="646"/>
    </row>
    <row r="97" spans="2:10" ht="15" x14ac:dyDescent="0.2">
      <c r="B97" s="686"/>
      <c r="C97" s="688"/>
      <c r="D97" s="650" t="str">
        <f>COUNTA(B101:F111)+COUNTA(B116:F128)+COUNTA(B133:F138)&amp;" Total Castings"</f>
        <v>78 Total Castings</v>
      </c>
      <c r="E97" s="688"/>
      <c r="F97" s="686"/>
      <c r="G97" s="646"/>
      <c r="J97" s="645">
        <v>79</v>
      </c>
    </row>
    <row r="98" spans="2:10" x14ac:dyDescent="0.2">
      <c r="B98" s="646"/>
      <c r="C98" s="646"/>
      <c r="D98" s="646"/>
      <c r="E98" s="646"/>
      <c r="F98" s="646"/>
      <c r="G98" s="646"/>
    </row>
    <row r="99" spans="2:10" x14ac:dyDescent="0.2">
      <c r="B99" s="654" t="s">
        <v>2323</v>
      </c>
      <c r="C99" s="655"/>
      <c r="D99" s="654" t="s">
        <v>2324</v>
      </c>
      <c r="E99" s="655"/>
      <c r="F99" s="654" t="s">
        <v>2325</v>
      </c>
      <c r="G99" s="679"/>
    </row>
    <row r="100" spans="2:10" x14ac:dyDescent="0.2">
      <c r="B100" s="654" t="s">
        <v>2234</v>
      </c>
      <c r="C100" s="655"/>
      <c r="D100" s="654" t="s">
        <v>2235</v>
      </c>
      <c r="E100" s="655"/>
      <c r="F100" s="654" t="s">
        <v>2234</v>
      </c>
      <c r="G100" s="679"/>
    </row>
    <row r="101" spans="2:10" x14ac:dyDescent="0.2">
      <c r="B101" s="656" t="s">
        <v>315</v>
      </c>
      <c r="C101" s="652"/>
      <c r="D101" s="656" t="s">
        <v>316</v>
      </c>
      <c r="E101" s="652"/>
      <c r="F101" s="656" t="s">
        <v>317</v>
      </c>
      <c r="G101" s="646"/>
    </row>
    <row r="102" spans="2:10" x14ac:dyDescent="0.2">
      <c r="B102" s="657" t="s">
        <v>318</v>
      </c>
      <c r="C102" s="652"/>
      <c r="D102" s="657" t="s">
        <v>319</v>
      </c>
      <c r="E102" s="652"/>
      <c r="F102" s="657" t="s">
        <v>320</v>
      </c>
      <c r="G102" s="646"/>
    </row>
    <row r="103" spans="2:10" x14ac:dyDescent="0.2">
      <c r="B103" s="658" t="s">
        <v>321</v>
      </c>
      <c r="C103" s="652"/>
      <c r="D103" s="658" t="s">
        <v>322</v>
      </c>
      <c r="E103" s="652"/>
      <c r="F103" s="658" t="s">
        <v>323</v>
      </c>
      <c r="G103" s="646"/>
    </row>
    <row r="104" spans="2:10" x14ac:dyDescent="0.2">
      <c r="B104" s="657" t="s">
        <v>324</v>
      </c>
      <c r="C104" s="652"/>
      <c r="D104" s="657" t="s">
        <v>325</v>
      </c>
      <c r="E104" s="652"/>
      <c r="F104" s="657" t="s">
        <v>326</v>
      </c>
      <c r="G104" s="646"/>
    </row>
    <row r="105" spans="2:10" x14ac:dyDescent="0.2">
      <c r="B105" s="658" t="s">
        <v>327</v>
      </c>
      <c r="C105" s="652"/>
      <c r="D105" s="658" t="s">
        <v>328</v>
      </c>
      <c r="E105" s="652"/>
      <c r="F105" s="658" t="s">
        <v>329</v>
      </c>
      <c r="G105" s="646"/>
    </row>
    <row r="106" spans="2:10" x14ac:dyDescent="0.2">
      <c r="B106" s="657" t="s">
        <v>330</v>
      </c>
      <c r="C106" s="652"/>
      <c r="D106" s="657" t="s">
        <v>331</v>
      </c>
      <c r="E106" s="652"/>
      <c r="F106" s="657" t="s">
        <v>332</v>
      </c>
      <c r="G106" s="646"/>
    </row>
    <row r="107" spans="2:10" x14ac:dyDescent="0.2">
      <c r="B107" s="658" t="s">
        <v>333</v>
      </c>
      <c r="C107" s="652"/>
      <c r="D107" s="658" t="s">
        <v>334</v>
      </c>
      <c r="E107" s="652"/>
      <c r="F107" s="658" t="s">
        <v>335</v>
      </c>
      <c r="G107" s="646"/>
    </row>
    <row r="108" spans="2:10" x14ac:dyDescent="0.2">
      <c r="B108" s="657" t="s">
        <v>336</v>
      </c>
      <c r="C108" s="652"/>
      <c r="D108" s="657" t="s">
        <v>337</v>
      </c>
      <c r="E108" s="652"/>
      <c r="F108" s="657" t="s">
        <v>338</v>
      </c>
      <c r="G108" s="646"/>
    </row>
    <row r="109" spans="2:10" x14ac:dyDescent="0.2">
      <c r="B109" s="658" t="s">
        <v>339</v>
      </c>
      <c r="C109" s="652"/>
      <c r="D109" s="658" t="s">
        <v>340</v>
      </c>
      <c r="E109" s="652"/>
      <c r="F109" s="658" t="s">
        <v>341</v>
      </c>
      <c r="G109" s="646"/>
    </row>
    <row r="110" spans="2:10" x14ac:dyDescent="0.2">
      <c r="B110" s="662" t="s">
        <v>342</v>
      </c>
      <c r="C110" s="652"/>
      <c r="D110" s="657" t="s">
        <v>343</v>
      </c>
      <c r="E110" s="652"/>
      <c r="F110" s="662" t="s">
        <v>344</v>
      </c>
      <c r="G110" s="646"/>
    </row>
    <row r="111" spans="2:10" x14ac:dyDescent="0.2">
      <c r="B111" s="652"/>
      <c r="C111" s="652"/>
      <c r="D111" s="689" t="s">
        <v>2263</v>
      </c>
      <c r="E111" s="652"/>
      <c r="F111" s="652"/>
      <c r="G111" s="646"/>
    </row>
    <row r="112" spans="2:10" x14ac:dyDescent="0.2">
      <c r="B112" s="652"/>
      <c r="C112" s="652"/>
      <c r="D112" s="690"/>
      <c r="E112" s="652"/>
      <c r="F112" s="652"/>
      <c r="G112" s="646"/>
    </row>
    <row r="113" spans="2:7" x14ac:dyDescent="0.2">
      <c r="B113" s="652"/>
      <c r="C113" s="652"/>
      <c r="D113" s="652"/>
      <c r="E113" s="652"/>
      <c r="F113" s="652"/>
      <c r="G113" s="646"/>
    </row>
    <row r="114" spans="2:7" x14ac:dyDescent="0.2">
      <c r="B114" s="654" t="s">
        <v>2326</v>
      </c>
      <c r="C114" s="655"/>
      <c r="D114" s="654" t="s">
        <v>2327</v>
      </c>
      <c r="E114" s="655"/>
      <c r="F114" s="654" t="s">
        <v>2328</v>
      </c>
      <c r="G114" s="679"/>
    </row>
    <row r="115" spans="2:7" x14ac:dyDescent="0.2">
      <c r="B115" s="654" t="s">
        <v>2234</v>
      </c>
      <c r="C115" s="655"/>
      <c r="D115" s="654" t="s">
        <v>2234</v>
      </c>
      <c r="E115" s="655"/>
      <c r="F115" s="654" t="s">
        <v>1251</v>
      </c>
      <c r="G115" s="679"/>
    </row>
    <row r="116" spans="2:7" x14ac:dyDescent="0.2">
      <c r="B116" s="691" t="s">
        <v>2264</v>
      </c>
      <c r="C116" s="652"/>
      <c r="D116" s="691" t="s">
        <v>2265</v>
      </c>
      <c r="E116" s="652"/>
      <c r="F116" s="656" t="s">
        <v>2236</v>
      </c>
      <c r="G116" s="646"/>
    </row>
    <row r="117" spans="2:7" x14ac:dyDescent="0.2">
      <c r="B117" s="657" t="s">
        <v>345</v>
      </c>
      <c r="C117" s="652"/>
      <c r="D117" s="657" t="s">
        <v>346</v>
      </c>
      <c r="E117" s="652"/>
      <c r="F117" s="657" t="s">
        <v>349</v>
      </c>
      <c r="G117" s="646"/>
    </row>
    <row r="118" spans="2:7" x14ac:dyDescent="0.2">
      <c r="B118" s="658" t="s">
        <v>347</v>
      </c>
      <c r="C118" s="652"/>
      <c r="D118" s="658" t="s">
        <v>348</v>
      </c>
      <c r="E118" s="652"/>
      <c r="F118" s="658" t="s">
        <v>352</v>
      </c>
      <c r="G118" s="646"/>
    </row>
    <row r="119" spans="2:7" x14ac:dyDescent="0.2">
      <c r="B119" s="657" t="s">
        <v>350</v>
      </c>
      <c r="C119" s="652"/>
      <c r="D119" s="657" t="s">
        <v>351</v>
      </c>
      <c r="E119" s="652"/>
      <c r="F119" s="657" t="s">
        <v>355</v>
      </c>
      <c r="G119" s="646"/>
    </row>
    <row r="120" spans="2:7" x14ac:dyDescent="0.2">
      <c r="B120" s="658" t="s">
        <v>353</v>
      </c>
      <c r="C120" s="652"/>
      <c r="D120" s="658" t="s">
        <v>354</v>
      </c>
      <c r="E120" s="652"/>
      <c r="F120" s="658" t="s">
        <v>358</v>
      </c>
      <c r="G120" s="646"/>
    </row>
    <row r="121" spans="2:7" x14ac:dyDescent="0.2">
      <c r="B121" s="657" t="s">
        <v>356</v>
      </c>
      <c r="C121" s="652"/>
      <c r="D121" s="657" t="s">
        <v>357</v>
      </c>
      <c r="E121" s="652"/>
      <c r="F121" s="662" t="s">
        <v>361</v>
      </c>
      <c r="G121" s="646"/>
    </row>
    <row r="122" spans="2:7" x14ac:dyDescent="0.2">
      <c r="B122" s="658" t="s">
        <v>359</v>
      </c>
      <c r="C122" s="652"/>
      <c r="D122" s="658" t="s">
        <v>360</v>
      </c>
      <c r="E122" s="652"/>
      <c r="F122" s="652"/>
      <c r="G122" s="646"/>
    </row>
    <row r="123" spans="2:7" x14ac:dyDescent="0.2">
      <c r="B123" s="657" t="s">
        <v>362</v>
      </c>
      <c r="C123" s="652"/>
      <c r="D123" s="657" t="s">
        <v>363</v>
      </c>
      <c r="E123" s="652"/>
      <c r="F123" s="652"/>
      <c r="G123" s="646"/>
    </row>
    <row r="124" spans="2:7" x14ac:dyDescent="0.2">
      <c r="B124" s="661" t="s">
        <v>364</v>
      </c>
      <c r="C124" s="652"/>
      <c r="D124" s="658" t="s">
        <v>366</v>
      </c>
      <c r="E124" s="652"/>
      <c r="F124" s="652"/>
      <c r="G124" s="646"/>
    </row>
    <row r="125" spans="2:7" x14ac:dyDescent="0.2">
      <c r="B125" s="657" t="s">
        <v>365</v>
      </c>
      <c r="C125" s="652"/>
      <c r="D125" s="659" t="s">
        <v>2266</v>
      </c>
      <c r="E125" s="652"/>
      <c r="F125" s="652"/>
      <c r="G125" s="646"/>
    </row>
    <row r="126" spans="2:7" x14ac:dyDescent="0.2">
      <c r="B126" s="658" t="s">
        <v>367</v>
      </c>
      <c r="C126" s="652"/>
      <c r="D126" s="661" t="s">
        <v>2267</v>
      </c>
      <c r="E126" s="652"/>
      <c r="F126" s="652"/>
      <c r="G126" s="646"/>
    </row>
    <row r="127" spans="2:7" x14ac:dyDescent="0.2">
      <c r="B127" s="662" t="s">
        <v>369</v>
      </c>
      <c r="C127" s="652"/>
      <c r="D127" s="657" t="s">
        <v>368</v>
      </c>
      <c r="E127" s="652"/>
      <c r="F127" s="652"/>
      <c r="G127" s="646"/>
    </row>
    <row r="128" spans="2:7" x14ac:dyDescent="0.2">
      <c r="B128" s="652"/>
      <c r="C128" s="652"/>
      <c r="D128" s="665" t="s">
        <v>370</v>
      </c>
      <c r="E128" s="652"/>
      <c r="F128" s="652"/>
      <c r="G128" s="646"/>
    </row>
    <row r="129" spans="2:10" x14ac:dyDescent="0.2">
      <c r="B129" s="652"/>
      <c r="C129" s="652"/>
      <c r="D129" s="684"/>
      <c r="E129" s="652"/>
      <c r="F129" s="652"/>
      <c r="G129" s="646"/>
    </row>
    <row r="130" spans="2:10" x14ac:dyDescent="0.2">
      <c r="B130" s="652"/>
      <c r="C130" s="652"/>
      <c r="D130" s="652"/>
      <c r="E130" s="652"/>
      <c r="F130" s="652"/>
      <c r="G130" s="646"/>
    </row>
    <row r="131" spans="2:10" x14ac:dyDescent="0.2">
      <c r="B131" s="654" t="s">
        <v>2329</v>
      </c>
      <c r="C131" s="655"/>
      <c r="D131" s="654" t="s">
        <v>2330</v>
      </c>
      <c r="E131" s="655"/>
      <c r="F131" s="654" t="s">
        <v>2331</v>
      </c>
      <c r="G131" s="679"/>
    </row>
    <row r="132" spans="2:10" x14ac:dyDescent="0.2">
      <c r="B132" s="654" t="s">
        <v>1251</v>
      </c>
      <c r="C132" s="655"/>
      <c r="D132" s="654" t="s">
        <v>1251</v>
      </c>
      <c r="E132" s="655"/>
      <c r="F132" s="654" t="s">
        <v>1316</v>
      </c>
      <c r="G132" s="679"/>
    </row>
    <row r="133" spans="2:10" x14ac:dyDescent="0.2">
      <c r="B133" s="656" t="s">
        <v>371</v>
      </c>
      <c r="C133" s="652"/>
      <c r="D133" s="656" t="s">
        <v>372</v>
      </c>
      <c r="E133" s="652"/>
      <c r="F133" s="656" t="s">
        <v>373</v>
      </c>
      <c r="G133" s="646"/>
    </row>
    <row r="134" spans="2:10" x14ac:dyDescent="0.2">
      <c r="B134" s="657" t="s">
        <v>374</v>
      </c>
      <c r="C134" s="652"/>
      <c r="D134" s="657" t="s">
        <v>375</v>
      </c>
      <c r="E134" s="652"/>
      <c r="F134" s="657" t="s">
        <v>376</v>
      </c>
      <c r="G134" s="646"/>
    </row>
    <row r="135" spans="2:10" x14ac:dyDescent="0.2">
      <c r="B135" s="658" t="s">
        <v>377</v>
      </c>
      <c r="C135" s="652"/>
      <c r="D135" s="658" t="s">
        <v>378</v>
      </c>
      <c r="E135" s="652"/>
      <c r="F135" s="658" t="s">
        <v>379</v>
      </c>
      <c r="G135" s="646"/>
    </row>
    <row r="136" spans="2:10" x14ac:dyDescent="0.2">
      <c r="B136" s="657" t="s">
        <v>380</v>
      </c>
      <c r="C136" s="652"/>
      <c r="D136" s="657" t="s">
        <v>381</v>
      </c>
      <c r="E136" s="652"/>
      <c r="F136" s="662" t="s">
        <v>382</v>
      </c>
      <c r="G136" s="646"/>
    </row>
    <row r="137" spans="2:10" x14ac:dyDescent="0.2">
      <c r="B137" s="658" t="s">
        <v>383</v>
      </c>
      <c r="C137" s="652"/>
      <c r="D137" s="658" t="s">
        <v>384</v>
      </c>
      <c r="E137" s="652"/>
      <c r="F137" s="652"/>
      <c r="G137" s="646"/>
    </row>
    <row r="138" spans="2:10" x14ac:dyDescent="0.2">
      <c r="B138" s="662" t="s">
        <v>385</v>
      </c>
      <c r="C138" s="652"/>
      <c r="D138" s="662" t="s">
        <v>386</v>
      </c>
      <c r="E138" s="652"/>
      <c r="F138" s="652"/>
      <c r="G138" s="646"/>
    </row>
    <row r="139" spans="2:10" x14ac:dyDescent="0.2">
      <c r="B139" s="652"/>
      <c r="C139" s="652"/>
      <c r="D139" s="652"/>
      <c r="E139" s="652"/>
      <c r="F139" s="652"/>
      <c r="G139" s="646"/>
    </row>
    <row r="140" spans="2:10" x14ac:dyDescent="0.2">
      <c r="B140" s="646"/>
      <c r="C140" s="646"/>
      <c r="D140" s="646"/>
      <c r="E140" s="646"/>
      <c r="F140" s="646"/>
      <c r="G140" s="646"/>
    </row>
    <row r="141" spans="2:10" x14ac:dyDescent="0.2">
      <c r="B141" s="646"/>
      <c r="C141" s="646"/>
      <c r="D141" s="646"/>
      <c r="E141" s="646"/>
      <c r="F141" s="646"/>
      <c r="G141" s="646"/>
    </row>
    <row r="142" spans="2:10" ht="15" x14ac:dyDescent="0.2">
      <c r="B142" s="686"/>
      <c r="C142" s="686"/>
      <c r="D142" s="648" t="s">
        <v>387</v>
      </c>
      <c r="E142" s="686"/>
      <c r="F142" s="686"/>
      <c r="G142" s="646"/>
    </row>
    <row r="143" spans="2:10" ht="15" x14ac:dyDescent="0.2">
      <c r="B143" s="686"/>
      <c r="C143" s="686"/>
      <c r="D143" s="650" t="str">
        <f>COUNTA(B147:F156)+COUNTA(B161:F168)+COUNTA(B173:F178)&amp;" Total Castings"</f>
        <v>69 Total Castings</v>
      </c>
      <c r="E143" s="686"/>
      <c r="F143" s="686"/>
      <c r="G143" s="646"/>
      <c r="J143" s="645">
        <v>69</v>
      </c>
    </row>
    <row r="144" spans="2:10" x14ac:dyDescent="0.2">
      <c r="B144" s="646"/>
      <c r="C144" s="646"/>
      <c r="D144" s="646"/>
      <c r="E144" s="646"/>
      <c r="F144" s="646"/>
      <c r="G144" s="646"/>
    </row>
    <row r="145" spans="2:7" x14ac:dyDescent="0.2">
      <c r="B145" s="654" t="s">
        <v>2323</v>
      </c>
      <c r="C145" s="655"/>
      <c r="D145" s="654" t="s">
        <v>2324</v>
      </c>
      <c r="E145" s="655"/>
      <c r="F145" s="654" t="s">
        <v>2325</v>
      </c>
      <c r="G145" s="679"/>
    </row>
    <row r="146" spans="2:7" x14ac:dyDescent="0.2">
      <c r="B146" s="654" t="s">
        <v>2234</v>
      </c>
      <c r="C146" s="655"/>
      <c r="D146" s="654" t="s">
        <v>2234</v>
      </c>
      <c r="E146" s="655"/>
      <c r="F146" s="654" t="s">
        <v>2234</v>
      </c>
      <c r="G146" s="679"/>
    </row>
    <row r="147" spans="2:7" x14ac:dyDescent="0.2">
      <c r="B147" s="656" t="s">
        <v>388</v>
      </c>
      <c r="C147" s="652"/>
      <c r="D147" s="656" t="s">
        <v>389</v>
      </c>
      <c r="E147" s="652"/>
      <c r="F147" s="656" t="s">
        <v>390</v>
      </c>
      <c r="G147" s="646"/>
    </row>
    <row r="148" spans="2:7" x14ac:dyDescent="0.2">
      <c r="B148" s="657" t="s">
        <v>391</v>
      </c>
      <c r="C148" s="652"/>
      <c r="D148" s="657" t="s">
        <v>392</v>
      </c>
      <c r="E148" s="652"/>
      <c r="F148" s="657" t="s">
        <v>393</v>
      </c>
      <c r="G148" s="646"/>
    </row>
    <row r="149" spans="2:7" x14ac:dyDescent="0.2">
      <c r="B149" s="658" t="s">
        <v>394</v>
      </c>
      <c r="C149" s="652"/>
      <c r="D149" s="658" t="s">
        <v>395</v>
      </c>
      <c r="E149" s="652"/>
      <c r="F149" s="658" t="s">
        <v>396</v>
      </c>
      <c r="G149" s="646"/>
    </row>
    <row r="150" spans="2:7" x14ac:dyDescent="0.2">
      <c r="B150" s="657" t="s">
        <v>397</v>
      </c>
      <c r="C150" s="652"/>
      <c r="D150" s="657" t="s">
        <v>398</v>
      </c>
      <c r="E150" s="652"/>
      <c r="F150" s="657" t="s">
        <v>399</v>
      </c>
      <c r="G150" s="646"/>
    </row>
    <row r="151" spans="2:7" x14ac:dyDescent="0.2">
      <c r="B151" s="658" t="s">
        <v>400</v>
      </c>
      <c r="C151" s="652"/>
      <c r="D151" s="658" t="s">
        <v>401</v>
      </c>
      <c r="E151" s="652"/>
      <c r="F151" s="658" t="s">
        <v>402</v>
      </c>
      <c r="G151" s="646"/>
    </row>
    <row r="152" spans="2:7" x14ac:dyDescent="0.2">
      <c r="B152" s="657" t="s">
        <v>403</v>
      </c>
      <c r="C152" s="652"/>
      <c r="D152" s="657" t="s">
        <v>404</v>
      </c>
      <c r="E152" s="652"/>
      <c r="F152" s="657" t="s">
        <v>405</v>
      </c>
      <c r="G152" s="646"/>
    </row>
    <row r="153" spans="2:7" x14ac:dyDescent="0.2">
      <c r="B153" s="658" t="s">
        <v>406</v>
      </c>
      <c r="C153" s="652"/>
      <c r="D153" s="658" t="s">
        <v>407</v>
      </c>
      <c r="E153" s="652"/>
      <c r="F153" s="658" t="s">
        <v>408</v>
      </c>
      <c r="G153" s="646"/>
    </row>
    <row r="154" spans="2:7" x14ac:dyDescent="0.2">
      <c r="B154" s="657" t="s">
        <v>409</v>
      </c>
      <c r="C154" s="652"/>
      <c r="D154" s="657" t="s">
        <v>410</v>
      </c>
      <c r="E154" s="652"/>
      <c r="F154" s="657" t="s">
        <v>411</v>
      </c>
      <c r="G154" s="646"/>
    </row>
    <row r="155" spans="2:7" x14ac:dyDescent="0.2">
      <c r="B155" s="658" t="s">
        <v>412</v>
      </c>
      <c r="C155" s="652"/>
      <c r="D155" s="658" t="s">
        <v>413</v>
      </c>
      <c r="E155" s="652"/>
      <c r="F155" s="658" t="s">
        <v>414</v>
      </c>
      <c r="G155" s="646"/>
    </row>
    <row r="156" spans="2:7" x14ac:dyDescent="0.2">
      <c r="B156" s="662" t="s">
        <v>415</v>
      </c>
      <c r="C156" s="652"/>
      <c r="D156" s="662" t="s">
        <v>416</v>
      </c>
      <c r="E156" s="652"/>
      <c r="F156" s="662" t="s">
        <v>417</v>
      </c>
      <c r="G156" s="646"/>
    </row>
    <row r="157" spans="2:7" x14ac:dyDescent="0.2">
      <c r="B157" s="652"/>
      <c r="C157" s="652"/>
      <c r="D157" s="652"/>
      <c r="E157" s="652"/>
      <c r="F157" s="652"/>
      <c r="G157" s="646"/>
    </row>
    <row r="158" spans="2:7" x14ac:dyDescent="0.2">
      <c r="B158" s="652"/>
      <c r="C158" s="652"/>
      <c r="D158" s="652"/>
      <c r="E158" s="652"/>
      <c r="F158" s="652"/>
      <c r="G158" s="646"/>
    </row>
    <row r="159" spans="2:7" x14ac:dyDescent="0.2">
      <c r="B159" s="654" t="s">
        <v>2326</v>
      </c>
      <c r="C159" s="655"/>
      <c r="D159" s="654" t="s">
        <v>2327</v>
      </c>
      <c r="E159" s="655"/>
      <c r="F159" s="654" t="s">
        <v>2328</v>
      </c>
      <c r="G159" s="677"/>
    </row>
    <row r="160" spans="2:7" x14ac:dyDescent="0.2">
      <c r="B160" s="654" t="s">
        <v>2233</v>
      </c>
      <c r="C160" s="655"/>
      <c r="D160" s="654" t="s">
        <v>1252</v>
      </c>
      <c r="E160" s="655"/>
      <c r="F160" s="654" t="s">
        <v>2233</v>
      </c>
      <c r="G160" s="679"/>
    </row>
    <row r="161" spans="2:7" x14ac:dyDescent="0.2">
      <c r="B161" s="656" t="s">
        <v>418</v>
      </c>
      <c r="C161" s="652"/>
      <c r="D161" s="656" t="s">
        <v>419</v>
      </c>
      <c r="E161" s="652"/>
      <c r="F161" s="656" t="s">
        <v>420</v>
      </c>
      <c r="G161" s="646"/>
    </row>
    <row r="162" spans="2:7" x14ac:dyDescent="0.2">
      <c r="B162" s="657" t="s">
        <v>421</v>
      </c>
      <c r="C162" s="652"/>
      <c r="D162" s="657" t="s">
        <v>422</v>
      </c>
      <c r="E162" s="652"/>
      <c r="F162" s="657" t="s">
        <v>423</v>
      </c>
      <c r="G162" s="646"/>
    </row>
    <row r="163" spans="2:7" x14ac:dyDescent="0.2">
      <c r="B163" s="658" t="s">
        <v>424</v>
      </c>
      <c r="C163" s="652"/>
      <c r="D163" s="658" t="s">
        <v>425</v>
      </c>
      <c r="E163" s="652"/>
      <c r="F163" s="658" t="s">
        <v>426</v>
      </c>
      <c r="G163" s="646"/>
    </row>
    <row r="164" spans="2:7" x14ac:dyDescent="0.2">
      <c r="B164" s="657" t="s">
        <v>427</v>
      </c>
      <c r="C164" s="652"/>
      <c r="D164" s="657" t="s">
        <v>428</v>
      </c>
      <c r="E164" s="652"/>
      <c r="F164" s="657" t="s">
        <v>429</v>
      </c>
      <c r="G164" s="646"/>
    </row>
    <row r="165" spans="2:7" x14ac:dyDescent="0.2">
      <c r="B165" s="658" t="s">
        <v>430</v>
      </c>
      <c r="C165" s="652"/>
      <c r="D165" s="658" t="s">
        <v>431</v>
      </c>
      <c r="E165" s="652"/>
      <c r="F165" s="658" t="s">
        <v>2270</v>
      </c>
      <c r="G165" s="646"/>
    </row>
    <row r="166" spans="2:7" x14ac:dyDescent="0.2">
      <c r="B166" s="657" t="s">
        <v>433</v>
      </c>
      <c r="C166" s="652"/>
      <c r="D166" s="659" t="s">
        <v>2268</v>
      </c>
      <c r="E166" s="652"/>
      <c r="F166" s="657" t="s">
        <v>432</v>
      </c>
      <c r="G166" s="646"/>
    </row>
    <row r="167" spans="2:7" x14ac:dyDescent="0.2">
      <c r="B167" s="658" t="s">
        <v>436</v>
      </c>
      <c r="C167" s="652"/>
      <c r="D167" s="658" t="s">
        <v>434</v>
      </c>
      <c r="E167" s="652"/>
      <c r="F167" s="658" t="s">
        <v>435</v>
      </c>
      <c r="G167" s="646"/>
    </row>
    <row r="168" spans="2:7" x14ac:dyDescent="0.2">
      <c r="B168" s="692"/>
      <c r="C168" s="652"/>
      <c r="D168" s="675" t="s">
        <v>2269</v>
      </c>
      <c r="E168" s="652"/>
      <c r="F168" s="692"/>
      <c r="G168" s="646"/>
    </row>
    <row r="169" spans="2:7" x14ac:dyDescent="0.2">
      <c r="B169" s="652"/>
      <c r="C169" s="652"/>
      <c r="D169" s="652"/>
      <c r="E169" s="652"/>
      <c r="F169" s="652"/>
      <c r="G169" s="646"/>
    </row>
    <row r="170" spans="2:7" x14ac:dyDescent="0.2">
      <c r="B170" s="652"/>
      <c r="C170" s="652"/>
      <c r="D170" s="652"/>
      <c r="E170" s="652"/>
      <c r="F170" s="652"/>
      <c r="G170" s="646"/>
    </row>
    <row r="171" spans="2:7" x14ac:dyDescent="0.2">
      <c r="B171" s="654" t="s">
        <v>2329</v>
      </c>
      <c r="C171" s="655"/>
      <c r="D171" s="654" t="s">
        <v>2330</v>
      </c>
      <c r="E171" s="655"/>
      <c r="F171" s="654" t="s">
        <v>2331</v>
      </c>
      <c r="G171" s="677"/>
    </row>
    <row r="172" spans="2:7" x14ac:dyDescent="0.2">
      <c r="B172" s="654" t="s">
        <v>1251</v>
      </c>
      <c r="C172" s="655"/>
      <c r="D172" s="654" t="s">
        <v>1251</v>
      </c>
      <c r="E172" s="655"/>
      <c r="F172" s="654" t="s">
        <v>1288</v>
      </c>
      <c r="G172" s="679"/>
    </row>
    <row r="173" spans="2:7" x14ac:dyDescent="0.2">
      <c r="B173" s="656" t="s">
        <v>437</v>
      </c>
      <c r="C173" s="652"/>
      <c r="D173" s="656" t="s">
        <v>438</v>
      </c>
      <c r="E173" s="652"/>
      <c r="F173" s="656" t="s">
        <v>439</v>
      </c>
      <c r="G173" s="646"/>
    </row>
    <row r="174" spans="2:7" x14ac:dyDescent="0.2">
      <c r="B174" s="657" t="s">
        <v>440</v>
      </c>
      <c r="C174" s="652"/>
      <c r="D174" s="657" t="s">
        <v>441</v>
      </c>
      <c r="E174" s="652"/>
      <c r="F174" s="657" t="s">
        <v>442</v>
      </c>
      <c r="G174" s="646"/>
    </row>
    <row r="175" spans="2:7" x14ac:dyDescent="0.2">
      <c r="B175" s="658" t="s">
        <v>443</v>
      </c>
      <c r="C175" s="652"/>
      <c r="D175" s="658" t="s">
        <v>444</v>
      </c>
      <c r="E175" s="652"/>
      <c r="F175" s="658" t="s">
        <v>445</v>
      </c>
      <c r="G175" s="646"/>
    </row>
    <row r="176" spans="2:7" x14ac:dyDescent="0.2">
      <c r="B176" s="657" t="s">
        <v>446</v>
      </c>
      <c r="C176" s="652"/>
      <c r="D176" s="657" t="s">
        <v>447</v>
      </c>
      <c r="E176" s="652"/>
      <c r="F176" s="657" t="s">
        <v>448</v>
      </c>
      <c r="G176" s="646"/>
    </row>
    <row r="177" spans="2:10" x14ac:dyDescent="0.2">
      <c r="B177" s="658" t="s">
        <v>449</v>
      </c>
      <c r="C177" s="652"/>
      <c r="D177" s="658" t="s">
        <v>450</v>
      </c>
      <c r="E177" s="652"/>
      <c r="F177" s="658" t="s">
        <v>451</v>
      </c>
      <c r="G177" s="646"/>
    </row>
    <row r="178" spans="2:10" x14ac:dyDescent="0.2">
      <c r="B178" s="662" t="s">
        <v>452</v>
      </c>
      <c r="C178" s="652"/>
      <c r="D178" s="662" t="s">
        <v>453</v>
      </c>
      <c r="E178" s="652"/>
      <c r="F178" s="692"/>
      <c r="G178" s="646"/>
    </row>
    <row r="179" spans="2:10" x14ac:dyDescent="0.2">
      <c r="B179" s="652"/>
      <c r="C179" s="652"/>
      <c r="D179" s="652"/>
      <c r="E179" s="652"/>
      <c r="F179" s="652"/>
      <c r="G179" s="646"/>
    </row>
    <row r="180" spans="2:10" x14ac:dyDescent="0.2">
      <c r="B180" s="646"/>
      <c r="C180" s="646"/>
      <c r="D180" s="646"/>
      <c r="E180" s="646"/>
      <c r="F180" s="646"/>
      <c r="G180" s="646"/>
    </row>
    <row r="181" spans="2:10" x14ac:dyDescent="0.2">
      <c r="B181" s="646"/>
      <c r="C181" s="646"/>
      <c r="D181" s="646"/>
      <c r="E181" s="646"/>
      <c r="F181" s="646"/>
      <c r="G181" s="646"/>
    </row>
    <row r="182" spans="2:10" ht="15" x14ac:dyDescent="0.2">
      <c r="B182" s="646"/>
      <c r="C182" s="647"/>
      <c r="D182" s="648" t="s">
        <v>454</v>
      </c>
      <c r="E182" s="647"/>
      <c r="F182" s="646"/>
      <c r="G182" s="646"/>
    </row>
    <row r="183" spans="2:10" ht="15" x14ac:dyDescent="0.2">
      <c r="B183" s="646"/>
      <c r="C183" s="649"/>
      <c r="D183" s="650" t="str">
        <f>COUNTA(B187:F198)+COUNTA(B202:F209)+COUNTA(B214:F219)&amp;" Total Castings"</f>
        <v>68 Total Castings</v>
      </c>
      <c r="E183" s="649"/>
      <c r="F183" s="646"/>
      <c r="G183" s="646"/>
      <c r="J183" s="645">
        <v>68</v>
      </c>
    </row>
    <row r="184" spans="2:10" x14ac:dyDescent="0.2">
      <c r="B184" s="646"/>
      <c r="C184" s="646"/>
      <c r="D184" s="646"/>
      <c r="E184" s="646"/>
      <c r="F184" s="646"/>
      <c r="G184" s="646"/>
    </row>
    <row r="185" spans="2:10" x14ac:dyDescent="0.2">
      <c r="B185" s="654" t="s">
        <v>2323</v>
      </c>
      <c r="C185" s="655"/>
      <c r="D185" s="654" t="s">
        <v>2324</v>
      </c>
      <c r="E185" s="655"/>
      <c r="F185" s="654" t="s">
        <v>2325</v>
      </c>
      <c r="G185" s="677"/>
    </row>
    <row r="186" spans="2:10" x14ac:dyDescent="0.2">
      <c r="B186" s="654" t="s">
        <v>2234</v>
      </c>
      <c r="C186" s="655"/>
      <c r="D186" s="654" t="s">
        <v>2241</v>
      </c>
      <c r="E186" s="655"/>
      <c r="F186" s="654" t="s">
        <v>1251</v>
      </c>
      <c r="G186" s="679"/>
    </row>
    <row r="187" spans="2:10" x14ac:dyDescent="0.2">
      <c r="B187" s="656" t="s">
        <v>455</v>
      </c>
      <c r="C187" s="652"/>
      <c r="D187" s="656" t="s">
        <v>456</v>
      </c>
      <c r="E187" s="652"/>
      <c r="F187" s="656" t="s">
        <v>457</v>
      </c>
      <c r="G187" s="646"/>
    </row>
    <row r="188" spans="2:10" x14ac:dyDescent="0.2">
      <c r="B188" s="657" t="s">
        <v>458</v>
      </c>
      <c r="C188" s="652"/>
      <c r="D188" s="657" t="s">
        <v>459</v>
      </c>
      <c r="E188" s="652"/>
      <c r="F188" s="657" t="s">
        <v>460</v>
      </c>
      <c r="G188" s="646"/>
    </row>
    <row r="189" spans="2:10" x14ac:dyDescent="0.2">
      <c r="B189" s="658" t="s">
        <v>461</v>
      </c>
      <c r="C189" s="652"/>
      <c r="D189" s="658" t="s">
        <v>462</v>
      </c>
      <c r="E189" s="652"/>
      <c r="F189" s="658" t="s">
        <v>463</v>
      </c>
      <c r="G189" s="646"/>
    </row>
    <row r="190" spans="2:10" x14ac:dyDescent="0.2">
      <c r="B190" s="657" t="s">
        <v>2237</v>
      </c>
      <c r="C190" s="652"/>
      <c r="D190" s="657" t="s">
        <v>464</v>
      </c>
      <c r="E190" s="652"/>
      <c r="F190" s="657" t="s">
        <v>465</v>
      </c>
      <c r="G190" s="646"/>
    </row>
    <row r="191" spans="2:10" x14ac:dyDescent="0.2">
      <c r="B191" s="658" t="s">
        <v>466</v>
      </c>
      <c r="C191" s="652"/>
      <c r="D191" s="658" t="s">
        <v>467</v>
      </c>
      <c r="E191" s="652"/>
      <c r="F191" s="658" t="s">
        <v>468</v>
      </c>
      <c r="G191" s="646"/>
    </row>
    <row r="192" spans="2:10" x14ac:dyDescent="0.2">
      <c r="B192" s="657" t="s">
        <v>469</v>
      </c>
      <c r="C192" s="652"/>
      <c r="D192" s="657" t="s">
        <v>470</v>
      </c>
      <c r="E192" s="652"/>
      <c r="F192" s="662" t="s">
        <v>471</v>
      </c>
      <c r="G192" s="646"/>
    </row>
    <row r="193" spans="2:7" x14ac:dyDescent="0.2">
      <c r="B193" s="658" t="s">
        <v>472</v>
      </c>
      <c r="C193" s="652"/>
      <c r="D193" s="658" t="s">
        <v>473</v>
      </c>
      <c r="E193" s="652"/>
      <c r="F193" s="652"/>
      <c r="G193" s="646"/>
    </row>
    <row r="194" spans="2:7" x14ac:dyDescent="0.2">
      <c r="B194" s="657" t="s">
        <v>474</v>
      </c>
      <c r="C194" s="652"/>
      <c r="D194" s="657" t="s">
        <v>475</v>
      </c>
      <c r="E194" s="652"/>
      <c r="F194" s="652"/>
      <c r="G194" s="646"/>
    </row>
    <row r="195" spans="2:7" x14ac:dyDescent="0.2">
      <c r="B195" s="658" t="s">
        <v>476</v>
      </c>
      <c r="C195" s="652"/>
      <c r="D195" s="658" t="s">
        <v>477</v>
      </c>
      <c r="E195" s="652"/>
      <c r="F195" s="652"/>
      <c r="G195" s="646"/>
    </row>
    <row r="196" spans="2:7" x14ac:dyDescent="0.2">
      <c r="B196" s="657" t="s">
        <v>478</v>
      </c>
      <c r="C196" s="652"/>
      <c r="D196" s="657" t="s">
        <v>479</v>
      </c>
      <c r="E196" s="652"/>
      <c r="F196" s="652"/>
      <c r="G196" s="646"/>
    </row>
    <row r="197" spans="2:7" x14ac:dyDescent="0.2">
      <c r="B197" s="693"/>
      <c r="C197" s="652"/>
      <c r="D197" s="658" t="s">
        <v>480</v>
      </c>
      <c r="E197" s="652"/>
      <c r="F197" s="652"/>
      <c r="G197" s="646"/>
    </row>
    <row r="198" spans="2:7" x14ac:dyDescent="0.2">
      <c r="B198" s="692"/>
      <c r="C198" s="652"/>
      <c r="D198" s="662" t="s">
        <v>481</v>
      </c>
      <c r="E198" s="652"/>
      <c r="F198" s="652"/>
      <c r="G198" s="646"/>
    </row>
    <row r="199" spans="2:7" x14ac:dyDescent="0.2">
      <c r="B199" s="652"/>
      <c r="C199" s="652"/>
      <c r="D199" s="652"/>
      <c r="E199" s="652"/>
      <c r="F199" s="652"/>
      <c r="G199" s="646"/>
    </row>
    <row r="200" spans="2:7" x14ac:dyDescent="0.2">
      <c r="B200" s="652"/>
      <c r="C200" s="652"/>
      <c r="D200" s="652"/>
      <c r="E200" s="652"/>
      <c r="F200" s="652"/>
      <c r="G200" s="646"/>
    </row>
    <row r="201" spans="2:7" x14ac:dyDescent="0.2">
      <c r="B201" s="654" t="s">
        <v>2326</v>
      </c>
      <c r="C201" s="655"/>
      <c r="D201" s="654" t="s">
        <v>2327</v>
      </c>
      <c r="E201" s="655"/>
      <c r="F201" s="654" t="s">
        <v>2328</v>
      </c>
      <c r="G201" s="677"/>
    </row>
    <row r="202" spans="2:7" x14ac:dyDescent="0.2">
      <c r="B202" s="654" t="s">
        <v>2233</v>
      </c>
      <c r="C202" s="655"/>
      <c r="D202" s="654" t="s">
        <v>2233</v>
      </c>
      <c r="E202" s="655"/>
      <c r="F202" s="654" t="s">
        <v>1251</v>
      </c>
      <c r="G202" s="679"/>
    </row>
    <row r="203" spans="2:7" x14ac:dyDescent="0.2">
      <c r="B203" s="656" t="s">
        <v>482</v>
      </c>
      <c r="C203" s="652"/>
      <c r="D203" s="656" t="s">
        <v>483</v>
      </c>
      <c r="E203" s="652"/>
      <c r="F203" s="656" t="s">
        <v>484</v>
      </c>
      <c r="G203" s="646"/>
    </row>
    <row r="204" spans="2:7" x14ac:dyDescent="0.2">
      <c r="B204" s="657" t="s">
        <v>485</v>
      </c>
      <c r="C204" s="652"/>
      <c r="D204" s="659" t="s">
        <v>2272</v>
      </c>
      <c r="E204" s="652"/>
      <c r="F204" s="657" t="s">
        <v>487</v>
      </c>
      <c r="G204" s="646"/>
    </row>
    <row r="205" spans="2:7" x14ac:dyDescent="0.2">
      <c r="B205" s="658" t="s">
        <v>488</v>
      </c>
      <c r="C205" s="652"/>
      <c r="D205" s="658" t="s">
        <v>486</v>
      </c>
      <c r="E205" s="652"/>
      <c r="F205" s="658" t="s">
        <v>490</v>
      </c>
      <c r="G205" s="646"/>
    </row>
    <row r="206" spans="2:7" x14ac:dyDescent="0.2">
      <c r="B206" s="659" t="s">
        <v>2271</v>
      </c>
      <c r="C206" s="652"/>
      <c r="D206" s="657" t="s">
        <v>489</v>
      </c>
      <c r="E206" s="652"/>
      <c r="F206" s="657" t="s">
        <v>493</v>
      </c>
      <c r="G206" s="646"/>
    </row>
    <row r="207" spans="2:7" x14ac:dyDescent="0.2">
      <c r="B207" s="658" t="s">
        <v>491</v>
      </c>
      <c r="C207" s="652"/>
      <c r="D207" s="658" t="s">
        <v>492</v>
      </c>
      <c r="E207" s="652"/>
      <c r="F207" s="658" t="s">
        <v>496</v>
      </c>
      <c r="G207" s="646"/>
    </row>
    <row r="208" spans="2:7" x14ac:dyDescent="0.2">
      <c r="B208" s="657" t="s">
        <v>494</v>
      </c>
      <c r="C208" s="652"/>
      <c r="D208" s="657" t="s">
        <v>495</v>
      </c>
      <c r="E208" s="652"/>
      <c r="F208" s="657" t="s">
        <v>499</v>
      </c>
      <c r="G208" s="646"/>
    </row>
    <row r="209" spans="2:10" x14ac:dyDescent="0.2">
      <c r="B209" s="665" t="s">
        <v>497</v>
      </c>
      <c r="C209" s="652"/>
      <c r="D209" s="665" t="s">
        <v>498</v>
      </c>
      <c r="E209" s="652"/>
      <c r="F209" s="683"/>
      <c r="G209" s="646"/>
    </row>
    <row r="210" spans="2:10" x14ac:dyDescent="0.2">
      <c r="B210" s="652"/>
      <c r="C210" s="652"/>
      <c r="D210" s="652"/>
      <c r="E210" s="652"/>
      <c r="F210" s="652"/>
      <c r="G210" s="646"/>
    </row>
    <row r="211" spans="2:10" x14ac:dyDescent="0.2">
      <c r="B211" s="652"/>
      <c r="C211" s="652"/>
      <c r="D211" s="652"/>
      <c r="E211" s="652"/>
      <c r="F211" s="652"/>
      <c r="G211" s="646"/>
    </row>
    <row r="212" spans="2:10" x14ac:dyDescent="0.2">
      <c r="B212" s="654" t="s">
        <v>2329</v>
      </c>
      <c r="C212" s="655"/>
      <c r="D212" s="654" t="s">
        <v>2330</v>
      </c>
      <c r="E212" s="655"/>
      <c r="F212" s="654" t="s">
        <v>2331</v>
      </c>
      <c r="G212" s="677"/>
    </row>
    <row r="213" spans="2:10" x14ac:dyDescent="0.2">
      <c r="B213" s="654" t="s">
        <v>1251</v>
      </c>
      <c r="C213" s="655"/>
      <c r="D213" s="654" t="s">
        <v>1251</v>
      </c>
      <c r="E213" s="655"/>
      <c r="F213" s="654" t="s">
        <v>1288</v>
      </c>
      <c r="G213" s="679"/>
    </row>
    <row r="214" spans="2:10" x14ac:dyDescent="0.2">
      <c r="B214" s="656" t="s">
        <v>500</v>
      </c>
      <c r="C214" s="652"/>
      <c r="D214" s="656" t="s">
        <v>501</v>
      </c>
      <c r="E214" s="652"/>
      <c r="F214" s="656" t="s">
        <v>502</v>
      </c>
      <c r="G214" s="646"/>
    </row>
    <row r="215" spans="2:10" x14ac:dyDescent="0.2">
      <c r="B215" s="657" t="s">
        <v>503</v>
      </c>
      <c r="C215" s="652"/>
      <c r="D215" s="659" t="s">
        <v>2273</v>
      </c>
      <c r="E215" s="652"/>
      <c r="F215" s="657" t="s">
        <v>505</v>
      </c>
      <c r="G215" s="646"/>
    </row>
    <row r="216" spans="2:10" x14ac:dyDescent="0.2">
      <c r="B216" s="658" t="s">
        <v>506</v>
      </c>
      <c r="C216" s="652"/>
      <c r="D216" s="658" t="s">
        <v>504</v>
      </c>
      <c r="E216" s="652"/>
      <c r="F216" s="658" t="s">
        <v>508</v>
      </c>
      <c r="G216" s="646"/>
    </row>
    <row r="217" spans="2:10" x14ac:dyDescent="0.2">
      <c r="B217" s="657" t="s">
        <v>509</v>
      </c>
      <c r="C217" s="652"/>
      <c r="D217" s="657" t="s">
        <v>507</v>
      </c>
      <c r="E217" s="652"/>
      <c r="F217" s="657" t="s">
        <v>511</v>
      </c>
      <c r="G217" s="646"/>
    </row>
    <row r="218" spans="2:10" x14ac:dyDescent="0.2">
      <c r="B218" s="658" t="s">
        <v>512</v>
      </c>
      <c r="C218" s="652"/>
      <c r="D218" s="658" t="s">
        <v>510</v>
      </c>
      <c r="E218" s="652"/>
      <c r="F218" s="658" t="s">
        <v>514</v>
      </c>
      <c r="G218" s="646"/>
    </row>
    <row r="219" spans="2:10" x14ac:dyDescent="0.2">
      <c r="B219" s="662" t="s">
        <v>515</v>
      </c>
      <c r="C219" s="652"/>
      <c r="D219" s="662" t="s">
        <v>513</v>
      </c>
      <c r="E219" s="652"/>
      <c r="F219" s="692"/>
      <c r="G219" s="646"/>
    </row>
    <row r="220" spans="2:10" x14ac:dyDescent="0.2">
      <c r="B220" s="652"/>
      <c r="C220" s="652"/>
      <c r="D220" s="652"/>
      <c r="E220" s="652"/>
      <c r="F220" s="652"/>
      <c r="G220" s="646"/>
    </row>
    <row r="221" spans="2:10" x14ac:dyDescent="0.2">
      <c r="B221" s="646"/>
      <c r="C221" s="646"/>
      <c r="D221" s="646"/>
      <c r="E221" s="646"/>
      <c r="F221" s="646"/>
      <c r="G221" s="646"/>
    </row>
    <row r="222" spans="2:10" ht="15" x14ac:dyDescent="0.2">
      <c r="B222" s="686"/>
      <c r="C222" s="694"/>
      <c r="D222" s="648" t="s">
        <v>516</v>
      </c>
      <c r="E222" s="694"/>
      <c r="F222" s="686"/>
      <c r="G222" s="686"/>
    </row>
    <row r="223" spans="2:10" ht="15" x14ac:dyDescent="0.2">
      <c r="B223" s="686"/>
      <c r="C223" s="695"/>
      <c r="D223" s="650" t="str">
        <f>COUNTA(B227:F236)+COUNTA(B242:F248)+COUNTA(B254:F261)&amp;" Total Castings"</f>
        <v>69 Total Castings</v>
      </c>
      <c r="E223" s="695"/>
      <c r="F223" s="686"/>
      <c r="G223" s="686"/>
      <c r="J223" s="645">
        <v>69</v>
      </c>
    </row>
    <row r="224" spans="2:10" x14ac:dyDescent="0.2">
      <c r="B224" s="696"/>
      <c r="C224" s="696"/>
      <c r="D224" s="696"/>
      <c r="E224" s="696"/>
      <c r="F224" s="696"/>
      <c r="G224" s="686"/>
    </row>
    <row r="225" spans="2:7" x14ac:dyDescent="0.2">
      <c r="B225" s="654" t="s">
        <v>2323</v>
      </c>
      <c r="C225" s="655"/>
      <c r="D225" s="654" t="s">
        <v>2324</v>
      </c>
      <c r="E225" s="655"/>
      <c r="F225" s="654" t="s">
        <v>2325</v>
      </c>
      <c r="G225" s="677"/>
    </row>
    <row r="226" spans="2:7" x14ac:dyDescent="0.2">
      <c r="B226" s="654" t="s">
        <v>2234</v>
      </c>
      <c r="C226" s="655"/>
      <c r="D226" s="654" t="s">
        <v>2234</v>
      </c>
      <c r="E226" s="655"/>
      <c r="F226" s="654" t="s">
        <v>2234</v>
      </c>
      <c r="G226" s="677"/>
    </row>
    <row r="227" spans="2:7" x14ac:dyDescent="0.2">
      <c r="B227" s="656" t="s">
        <v>517</v>
      </c>
      <c r="C227" s="652"/>
      <c r="D227" s="656" t="s">
        <v>518</v>
      </c>
      <c r="E227" s="652"/>
      <c r="F227" s="656" t="s">
        <v>519</v>
      </c>
      <c r="G227" s="646"/>
    </row>
    <row r="228" spans="2:7" x14ac:dyDescent="0.2">
      <c r="B228" s="657" t="s">
        <v>520</v>
      </c>
      <c r="C228" s="652"/>
      <c r="D228" s="657" t="s">
        <v>521</v>
      </c>
      <c r="E228" s="652"/>
      <c r="F228" s="657" t="s">
        <v>522</v>
      </c>
      <c r="G228" s="646"/>
    </row>
    <row r="229" spans="2:7" x14ac:dyDescent="0.2">
      <c r="B229" s="658" t="s">
        <v>523</v>
      </c>
      <c r="C229" s="652"/>
      <c r="D229" s="658" t="s">
        <v>524</v>
      </c>
      <c r="E229" s="652"/>
      <c r="F229" s="658" t="s">
        <v>525</v>
      </c>
      <c r="G229" s="646"/>
    </row>
    <row r="230" spans="2:7" x14ac:dyDescent="0.2">
      <c r="B230" s="657" t="s">
        <v>526</v>
      </c>
      <c r="C230" s="652"/>
      <c r="D230" s="657" t="s">
        <v>527</v>
      </c>
      <c r="E230" s="652"/>
      <c r="F230" s="657" t="s">
        <v>528</v>
      </c>
      <c r="G230" s="646"/>
    </row>
    <row r="231" spans="2:7" x14ac:dyDescent="0.2">
      <c r="B231" s="658" t="s">
        <v>529</v>
      </c>
      <c r="C231" s="652"/>
      <c r="D231" s="658" t="s">
        <v>530</v>
      </c>
      <c r="E231" s="652"/>
      <c r="F231" s="658" t="s">
        <v>531</v>
      </c>
      <c r="G231" s="646"/>
    </row>
    <row r="232" spans="2:7" x14ac:dyDescent="0.2">
      <c r="B232" s="657" t="s">
        <v>532</v>
      </c>
      <c r="C232" s="652"/>
      <c r="D232" s="657" t="s">
        <v>533</v>
      </c>
      <c r="E232" s="652"/>
      <c r="F232" s="657" t="s">
        <v>534</v>
      </c>
      <c r="G232" s="646"/>
    </row>
    <row r="233" spans="2:7" x14ac:dyDescent="0.2">
      <c r="B233" s="658" t="s">
        <v>535</v>
      </c>
      <c r="C233" s="652"/>
      <c r="D233" s="658" t="s">
        <v>536</v>
      </c>
      <c r="E233" s="652"/>
      <c r="F233" s="658" t="s">
        <v>537</v>
      </c>
      <c r="G233" s="646"/>
    </row>
    <row r="234" spans="2:7" x14ac:dyDescent="0.2">
      <c r="B234" s="657" t="s">
        <v>538</v>
      </c>
      <c r="C234" s="652"/>
      <c r="D234" s="657" t="s">
        <v>539</v>
      </c>
      <c r="E234" s="652"/>
      <c r="F234" s="657" t="s">
        <v>540</v>
      </c>
      <c r="G234" s="646"/>
    </row>
    <row r="235" spans="2:7" x14ac:dyDescent="0.2">
      <c r="B235" s="658" t="s">
        <v>541</v>
      </c>
      <c r="C235" s="652"/>
      <c r="D235" s="658" t="s">
        <v>542</v>
      </c>
      <c r="E235" s="652"/>
      <c r="F235" s="658" t="s">
        <v>543</v>
      </c>
      <c r="G235" s="646"/>
    </row>
    <row r="236" spans="2:7" x14ac:dyDescent="0.2">
      <c r="B236" s="662" t="s">
        <v>544</v>
      </c>
      <c r="C236" s="652"/>
      <c r="D236" s="662" t="s">
        <v>545</v>
      </c>
      <c r="E236" s="652"/>
      <c r="F236" s="662" t="s">
        <v>546</v>
      </c>
      <c r="G236" s="646"/>
    </row>
    <row r="237" spans="2:7" x14ac:dyDescent="0.2">
      <c r="B237" s="652"/>
      <c r="C237" s="652"/>
      <c r="D237" s="652"/>
      <c r="E237" s="652"/>
      <c r="F237" s="652"/>
      <c r="G237" s="646"/>
    </row>
    <row r="238" spans="2:7" x14ac:dyDescent="0.2">
      <c r="B238" s="652"/>
      <c r="C238" s="652"/>
      <c r="D238" s="652"/>
      <c r="E238" s="652"/>
      <c r="F238" s="652"/>
      <c r="G238" s="646"/>
    </row>
    <row r="239" spans="2:7" x14ac:dyDescent="0.2">
      <c r="B239" s="652"/>
      <c r="C239" s="652"/>
      <c r="D239" s="652"/>
      <c r="E239" s="652"/>
      <c r="F239" s="652"/>
      <c r="G239" s="646"/>
    </row>
    <row r="240" spans="2:7" x14ac:dyDescent="0.2">
      <c r="B240" s="654" t="s">
        <v>2326</v>
      </c>
      <c r="C240" s="655"/>
      <c r="D240" s="654" t="s">
        <v>2327</v>
      </c>
      <c r="E240" s="655"/>
      <c r="F240" s="654" t="s">
        <v>2328</v>
      </c>
      <c r="G240" s="677"/>
    </row>
    <row r="241" spans="2:7" x14ac:dyDescent="0.2">
      <c r="B241" s="654" t="s">
        <v>1251</v>
      </c>
      <c r="C241" s="655"/>
      <c r="D241" s="654" t="s">
        <v>1251</v>
      </c>
      <c r="E241" s="655"/>
      <c r="F241" s="654" t="s">
        <v>2233</v>
      </c>
      <c r="G241" s="679"/>
    </row>
    <row r="242" spans="2:7" x14ac:dyDescent="0.2">
      <c r="B242" s="656" t="s">
        <v>547</v>
      </c>
      <c r="C242" s="652"/>
      <c r="D242" s="656" t="s">
        <v>548</v>
      </c>
      <c r="E242" s="652"/>
      <c r="F242" s="691" t="s">
        <v>2274</v>
      </c>
      <c r="G242" s="646"/>
    </row>
    <row r="243" spans="2:7" x14ac:dyDescent="0.2">
      <c r="B243" s="657" t="s">
        <v>550</v>
      </c>
      <c r="C243" s="652"/>
      <c r="D243" s="657" t="s">
        <v>551</v>
      </c>
      <c r="E243" s="652"/>
      <c r="F243" s="657" t="s">
        <v>549</v>
      </c>
      <c r="G243" s="646"/>
    </row>
    <row r="244" spans="2:7" x14ac:dyDescent="0.2">
      <c r="B244" s="658" t="s">
        <v>553</v>
      </c>
      <c r="C244" s="652"/>
      <c r="D244" s="658" t="s">
        <v>554</v>
      </c>
      <c r="E244" s="652"/>
      <c r="F244" s="658" t="s">
        <v>552</v>
      </c>
      <c r="G244" s="646"/>
    </row>
    <row r="245" spans="2:7" x14ac:dyDescent="0.2">
      <c r="B245" s="657" t="s">
        <v>556</v>
      </c>
      <c r="C245" s="652"/>
      <c r="D245" s="657" t="s">
        <v>557</v>
      </c>
      <c r="E245" s="652"/>
      <c r="F245" s="657" t="s">
        <v>555</v>
      </c>
      <c r="G245" s="646"/>
    </row>
    <row r="246" spans="2:7" x14ac:dyDescent="0.2">
      <c r="B246" s="658" t="s">
        <v>559</v>
      </c>
      <c r="C246" s="652"/>
      <c r="D246" s="658" t="s">
        <v>560</v>
      </c>
      <c r="E246" s="652"/>
      <c r="F246" s="658" t="s">
        <v>558</v>
      </c>
      <c r="G246" s="646"/>
    </row>
    <row r="247" spans="2:7" x14ac:dyDescent="0.2">
      <c r="B247" s="657" t="s">
        <v>562</v>
      </c>
      <c r="C247" s="652"/>
      <c r="D247" s="657" t="s">
        <v>563</v>
      </c>
      <c r="E247" s="652"/>
      <c r="F247" s="657" t="s">
        <v>561</v>
      </c>
      <c r="G247" s="646"/>
    </row>
    <row r="248" spans="2:7" x14ac:dyDescent="0.2">
      <c r="B248" s="683"/>
      <c r="C248" s="652"/>
      <c r="D248" s="683"/>
      <c r="E248" s="652"/>
      <c r="F248" s="665" t="s">
        <v>564</v>
      </c>
      <c r="G248" s="646"/>
    </row>
    <row r="249" spans="2:7" x14ac:dyDescent="0.2">
      <c r="B249" s="652"/>
      <c r="C249" s="652"/>
      <c r="D249" s="652"/>
      <c r="E249" s="652"/>
      <c r="F249" s="652"/>
      <c r="G249" s="646"/>
    </row>
    <row r="250" spans="2:7" x14ac:dyDescent="0.2">
      <c r="B250" s="652"/>
      <c r="C250" s="652"/>
      <c r="D250" s="652"/>
      <c r="E250" s="652"/>
      <c r="F250" s="652"/>
      <c r="G250" s="646"/>
    </row>
    <row r="251" spans="2:7" x14ac:dyDescent="0.2">
      <c r="B251" s="652"/>
      <c r="C251" s="652"/>
      <c r="D251" s="652"/>
      <c r="E251" s="652"/>
      <c r="F251" s="652"/>
      <c r="G251" s="646"/>
    </row>
    <row r="252" spans="2:7" x14ac:dyDescent="0.2">
      <c r="B252" s="654" t="s">
        <v>2329</v>
      </c>
      <c r="C252" s="655"/>
      <c r="D252" s="654" t="s">
        <v>2330</v>
      </c>
      <c r="E252" s="655"/>
      <c r="F252" s="654" t="s">
        <v>2331</v>
      </c>
      <c r="G252" s="677"/>
    </row>
    <row r="253" spans="2:7" x14ac:dyDescent="0.2">
      <c r="B253" s="654" t="s">
        <v>1251</v>
      </c>
      <c r="C253" s="655"/>
      <c r="D253" s="654" t="s">
        <v>1251</v>
      </c>
      <c r="E253" s="655"/>
      <c r="F253" s="654" t="s">
        <v>1252</v>
      </c>
      <c r="G253" s="679"/>
    </row>
    <row r="254" spans="2:7" x14ac:dyDescent="0.2">
      <c r="B254" s="656" t="s">
        <v>565</v>
      </c>
      <c r="C254" s="652"/>
      <c r="D254" s="656" t="s">
        <v>566</v>
      </c>
      <c r="E254" s="652"/>
      <c r="F254" s="656" t="s">
        <v>567</v>
      </c>
      <c r="G254" s="646"/>
    </row>
    <row r="255" spans="2:7" x14ac:dyDescent="0.2">
      <c r="B255" s="657" t="s">
        <v>2239</v>
      </c>
      <c r="C255" s="652"/>
      <c r="D255" s="657" t="s">
        <v>568</v>
      </c>
      <c r="E255" s="652"/>
      <c r="F255" s="657" t="s">
        <v>569</v>
      </c>
      <c r="G255" s="646"/>
    </row>
    <row r="256" spans="2:7" ht="22.5" x14ac:dyDescent="0.2">
      <c r="B256" s="658" t="s">
        <v>570</v>
      </c>
      <c r="C256" s="652"/>
      <c r="D256" s="658" t="s">
        <v>571</v>
      </c>
      <c r="E256" s="652"/>
      <c r="F256" s="661" t="s">
        <v>2238</v>
      </c>
      <c r="G256" s="646"/>
    </row>
    <row r="257" spans="2:10" x14ac:dyDescent="0.2">
      <c r="B257" s="657" t="s">
        <v>572</v>
      </c>
      <c r="C257" s="652"/>
      <c r="D257" s="657" t="s">
        <v>573</v>
      </c>
      <c r="E257" s="652"/>
      <c r="F257" s="659" t="s">
        <v>2275</v>
      </c>
      <c r="G257" s="646"/>
    </row>
    <row r="258" spans="2:10" x14ac:dyDescent="0.2">
      <c r="B258" s="658" t="s">
        <v>575</v>
      </c>
      <c r="C258" s="652"/>
      <c r="D258" s="658" t="s">
        <v>576</v>
      </c>
      <c r="E258" s="652"/>
      <c r="F258" s="658" t="s">
        <v>574</v>
      </c>
      <c r="G258" s="646"/>
    </row>
    <row r="259" spans="2:10" x14ac:dyDescent="0.2">
      <c r="B259" s="657" t="s">
        <v>578</v>
      </c>
      <c r="C259" s="652"/>
      <c r="D259" s="657" t="s">
        <v>579</v>
      </c>
      <c r="E259" s="652"/>
      <c r="F259" s="657" t="s">
        <v>2276</v>
      </c>
      <c r="G259" s="646"/>
    </row>
    <row r="260" spans="2:10" x14ac:dyDescent="0.2">
      <c r="B260" s="693"/>
      <c r="C260" s="652"/>
      <c r="D260" s="693"/>
      <c r="E260" s="652"/>
      <c r="F260" s="658" t="s">
        <v>577</v>
      </c>
      <c r="G260" s="646"/>
    </row>
    <row r="261" spans="2:10" x14ac:dyDescent="0.2">
      <c r="B261" s="692"/>
      <c r="C261" s="652"/>
      <c r="D261" s="692"/>
      <c r="E261" s="652"/>
      <c r="F261" s="662" t="s">
        <v>580</v>
      </c>
      <c r="G261" s="646"/>
    </row>
    <row r="262" spans="2:10" x14ac:dyDescent="0.2">
      <c r="B262" s="652"/>
      <c r="C262" s="652"/>
      <c r="D262" s="652"/>
      <c r="E262" s="652"/>
      <c r="F262" s="652"/>
      <c r="G262" s="646"/>
    </row>
    <row r="263" spans="2:10" x14ac:dyDescent="0.2">
      <c r="B263" s="646"/>
      <c r="C263" s="646"/>
      <c r="D263" s="646"/>
      <c r="E263" s="646"/>
      <c r="F263" s="646"/>
      <c r="G263" s="646"/>
    </row>
    <row r="264" spans="2:10" s="700" customFormat="1" ht="15" x14ac:dyDescent="0.25">
      <c r="B264" s="697"/>
      <c r="C264" s="698"/>
      <c r="D264" s="648" t="s">
        <v>581</v>
      </c>
      <c r="E264" s="698"/>
      <c r="F264" s="697"/>
      <c r="G264" s="699"/>
    </row>
    <row r="265" spans="2:10" s="700" customFormat="1" ht="15.75" thickBot="1" x14ac:dyDescent="0.3">
      <c r="B265" s="697"/>
      <c r="C265" s="701"/>
      <c r="D265" s="702" t="s">
        <v>2332</v>
      </c>
      <c r="E265" s="701"/>
      <c r="F265" s="697"/>
      <c r="G265" s="699"/>
      <c r="J265" s="700">
        <v>9</v>
      </c>
    </row>
    <row r="266" spans="2:10" x14ac:dyDescent="0.2">
      <c r="B266" s="686"/>
      <c r="C266" s="686"/>
      <c r="D266" s="686"/>
      <c r="E266" s="686"/>
      <c r="F266" s="686"/>
      <c r="G266" s="646"/>
    </row>
    <row r="267" spans="2:10" x14ac:dyDescent="0.2">
      <c r="B267" s="703" t="s">
        <v>2323</v>
      </c>
      <c r="C267" s="686"/>
      <c r="D267" s="703" t="s">
        <v>2324</v>
      </c>
      <c r="E267" s="686"/>
      <c r="F267" s="703" t="s">
        <v>2325</v>
      </c>
      <c r="G267" s="646"/>
    </row>
    <row r="268" spans="2:10" x14ac:dyDescent="0.2">
      <c r="B268" s="704" t="s">
        <v>582</v>
      </c>
      <c r="C268" s="646"/>
      <c r="D268" s="704" t="s">
        <v>583</v>
      </c>
      <c r="E268" s="646"/>
      <c r="F268" s="704" t="s">
        <v>584</v>
      </c>
      <c r="G268" s="646"/>
    </row>
    <row r="269" spans="2:10" x14ac:dyDescent="0.2">
      <c r="B269" s="646"/>
      <c r="C269" s="646"/>
      <c r="D269" s="646"/>
      <c r="E269" s="646"/>
      <c r="F269" s="646"/>
      <c r="G269" s="646"/>
    </row>
    <row r="270" spans="2:10" x14ac:dyDescent="0.2">
      <c r="B270" s="646"/>
      <c r="C270" s="646"/>
      <c r="D270" s="646"/>
      <c r="E270" s="646"/>
      <c r="F270" s="646"/>
      <c r="G270" s="646"/>
    </row>
    <row r="271" spans="2:10" x14ac:dyDescent="0.2">
      <c r="B271" s="703" t="s">
        <v>2326</v>
      </c>
      <c r="C271" s="686"/>
      <c r="D271" s="703" t="s">
        <v>2327</v>
      </c>
      <c r="E271" s="686"/>
      <c r="F271" s="703" t="s">
        <v>2328</v>
      </c>
      <c r="G271" s="646"/>
    </row>
    <row r="272" spans="2:10" x14ac:dyDescent="0.2">
      <c r="B272" s="704" t="s">
        <v>585</v>
      </c>
      <c r="C272" s="646"/>
      <c r="D272" s="704" t="s">
        <v>586</v>
      </c>
      <c r="E272" s="646"/>
      <c r="F272" s="704" t="s">
        <v>587</v>
      </c>
      <c r="G272" s="646"/>
    </row>
    <row r="273" spans="2:10" x14ac:dyDescent="0.2">
      <c r="B273" s="646"/>
      <c r="C273" s="646"/>
      <c r="D273" s="646"/>
      <c r="E273" s="646"/>
      <c r="F273" s="646"/>
      <c r="G273" s="646"/>
    </row>
    <row r="274" spans="2:10" x14ac:dyDescent="0.2">
      <c r="B274" s="646"/>
      <c r="C274" s="646"/>
      <c r="D274" s="646"/>
      <c r="E274" s="646"/>
      <c r="F274" s="646"/>
      <c r="G274" s="646"/>
    </row>
    <row r="275" spans="2:10" x14ac:dyDescent="0.2">
      <c r="B275" s="703" t="s">
        <v>2329</v>
      </c>
      <c r="C275" s="686"/>
      <c r="D275" s="703" t="s">
        <v>2330</v>
      </c>
      <c r="E275" s="686"/>
      <c r="F275" s="703" t="s">
        <v>2331</v>
      </c>
      <c r="G275" s="646"/>
    </row>
    <row r="276" spans="2:10" x14ac:dyDescent="0.2">
      <c r="B276" s="704" t="s">
        <v>588</v>
      </c>
      <c r="C276" s="646"/>
      <c r="D276" s="704" t="s">
        <v>589</v>
      </c>
      <c r="E276" s="646"/>
      <c r="F276" s="704" t="s">
        <v>590</v>
      </c>
      <c r="G276" s="646"/>
    </row>
    <row r="277" spans="2:10" x14ac:dyDescent="0.2">
      <c r="B277" s="646"/>
      <c r="C277" s="646"/>
      <c r="D277" s="646"/>
      <c r="E277" s="646"/>
      <c r="F277" s="646"/>
      <c r="G277" s="646"/>
    </row>
    <row r="278" spans="2:10" x14ac:dyDescent="0.2">
      <c r="B278" s="646"/>
      <c r="C278" s="646"/>
      <c r="D278" s="646"/>
      <c r="E278" s="646"/>
      <c r="F278" s="646"/>
      <c r="G278" s="646"/>
    </row>
    <row r="279" spans="2:10" x14ac:dyDescent="0.2">
      <c r="B279" s="646"/>
      <c r="C279" s="646"/>
      <c r="D279" s="646"/>
      <c r="E279" s="646"/>
      <c r="F279" s="646"/>
      <c r="G279" s="646"/>
    </row>
    <row r="280" spans="2:10" x14ac:dyDescent="0.2">
      <c r="B280" s="646"/>
      <c r="C280" s="646"/>
      <c r="D280" s="646"/>
      <c r="E280" s="646"/>
      <c r="F280" s="646"/>
      <c r="G280" s="646"/>
    </row>
    <row r="281" spans="2:10" x14ac:dyDescent="0.2">
      <c r="B281" s="646"/>
      <c r="C281" s="646"/>
      <c r="D281" s="646"/>
      <c r="E281" s="646"/>
      <c r="F281" s="646"/>
      <c r="G281" s="646"/>
    </row>
    <row r="282" spans="2:10" s="700" customFormat="1" ht="15" x14ac:dyDescent="0.25">
      <c r="B282" s="697"/>
      <c r="C282" s="694"/>
      <c r="D282" s="648" t="s">
        <v>591</v>
      </c>
      <c r="E282" s="694"/>
      <c r="F282" s="697"/>
      <c r="G282" s="697"/>
    </row>
    <row r="283" spans="2:10" s="700" customFormat="1" ht="15" x14ac:dyDescent="0.25">
      <c r="B283" s="697"/>
      <c r="C283" s="695"/>
      <c r="D283" s="650" t="str">
        <f>COUNTA(B287:F296)+COUNTA(B301:F305)+COUNTA(B310:F313)&amp;" Total Castings"</f>
        <v>44 Total Castings</v>
      </c>
      <c r="E283" s="695"/>
      <c r="F283" s="697"/>
      <c r="G283" s="697"/>
      <c r="J283" s="700">
        <v>44</v>
      </c>
    </row>
    <row r="284" spans="2:10" x14ac:dyDescent="0.2">
      <c r="B284" s="686"/>
      <c r="C284" s="686"/>
      <c r="D284" s="686"/>
      <c r="E284" s="686"/>
      <c r="F284" s="686"/>
      <c r="G284" s="686"/>
    </row>
    <row r="285" spans="2:10" x14ac:dyDescent="0.2">
      <c r="B285" s="705" t="s">
        <v>2323</v>
      </c>
      <c r="C285" s="677"/>
      <c r="D285" s="705" t="s">
        <v>2324</v>
      </c>
      <c r="E285" s="677"/>
      <c r="F285" s="705" t="s">
        <v>2325</v>
      </c>
      <c r="G285" s="677"/>
    </row>
    <row r="286" spans="2:10" x14ac:dyDescent="0.2">
      <c r="B286" s="705" t="s">
        <v>2234</v>
      </c>
      <c r="C286" s="677"/>
      <c r="D286" s="705" t="s">
        <v>1251</v>
      </c>
      <c r="E286" s="677"/>
      <c r="F286" s="705" t="s">
        <v>1251</v>
      </c>
      <c r="G286" s="679"/>
    </row>
    <row r="287" spans="2:10" x14ac:dyDescent="0.2">
      <c r="B287" s="656" t="s">
        <v>592</v>
      </c>
      <c r="C287" s="652"/>
      <c r="D287" s="656" t="s">
        <v>593</v>
      </c>
      <c r="E287" s="652"/>
      <c r="F287" s="656" t="s">
        <v>594</v>
      </c>
      <c r="G287" s="646"/>
    </row>
    <row r="288" spans="2:10" x14ac:dyDescent="0.2">
      <c r="B288" s="657" t="s">
        <v>595</v>
      </c>
      <c r="C288" s="652"/>
      <c r="D288" s="657" t="s">
        <v>596</v>
      </c>
      <c r="E288" s="652"/>
      <c r="F288" s="657" t="s">
        <v>597</v>
      </c>
      <c r="G288" s="646"/>
    </row>
    <row r="289" spans="2:7" x14ac:dyDescent="0.2">
      <c r="B289" s="658" t="s">
        <v>598</v>
      </c>
      <c r="C289" s="652"/>
      <c r="D289" s="658" t="s">
        <v>599</v>
      </c>
      <c r="E289" s="652"/>
      <c r="F289" s="658" t="s">
        <v>600</v>
      </c>
      <c r="G289" s="646"/>
    </row>
    <row r="290" spans="2:7" x14ac:dyDescent="0.2">
      <c r="B290" s="657" t="s">
        <v>601</v>
      </c>
      <c r="C290" s="652"/>
      <c r="D290" s="657" t="s">
        <v>602</v>
      </c>
      <c r="E290" s="652"/>
      <c r="F290" s="657" t="s">
        <v>603</v>
      </c>
      <c r="G290" s="646"/>
    </row>
    <row r="291" spans="2:7" x14ac:dyDescent="0.2">
      <c r="B291" s="658" t="s">
        <v>604</v>
      </c>
      <c r="C291" s="652"/>
      <c r="D291" s="658" t="s">
        <v>605</v>
      </c>
      <c r="E291" s="652"/>
      <c r="F291" s="661" t="s">
        <v>178</v>
      </c>
      <c r="G291" s="646"/>
    </row>
    <row r="292" spans="2:7" x14ac:dyDescent="0.2">
      <c r="B292" s="657" t="s">
        <v>607</v>
      </c>
      <c r="C292" s="652"/>
      <c r="D292" s="662" t="s">
        <v>608</v>
      </c>
      <c r="E292" s="652"/>
      <c r="F292" s="662" t="s">
        <v>606</v>
      </c>
      <c r="G292" s="646"/>
    </row>
    <row r="293" spans="2:7" x14ac:dyDescent="0.2">
      <c r="B293" s="658" t="s">
        <v>609</v>
      </c>
      <c r="C293" s="652"/>
      <c r="D293" s="652"/>
      <c r="E293" s="652"/>
      <c r="F293" s="652"/>
      <c r="G293" s="646"/>
    </row>
    <row r="294" spans="2:7" x14ac:dyDescent="0.2">
      <c r="B294" s="657" t="s">
        <v>610</v>
      </c>
      <c r="C294" s="652"/>
      <c r="D294" s="652"/>
      <c r="E294" s="652"/>
      <c r="F294" s="652"/>
      <c r="G294" s="646"/>
    </row>
    <row r="295" spans="2:7" x14ac:dyDescent="0.2">
      <c r="B295" s="658" t="s">
        <v>611</v>
      </c>
      <c r="C295" s="652"/>
      <c r="D295" s="652"/>
      <c r="E295" s="652"/>
      <c r="F295" s="652"/>
      <c r="G295" s="646"/>
    </row>
    <row r="296" spans="2:7" x14ac:dyDescent="0.2">
      <c r="B296" s="662" t="s">
        <v>612</v>
      </c>
      <c r="C296" s="652"/>
      <c r="D296" s="652"/>
      <c r="E296" s="652"/>
      <c r="F296" s="652"/>
      <c r="G296" s="646"/>
    </row>
    <row r="297" spans="2:7" x14ac:dyDescent="0.2">
      <c r="B297" s="646"/>
      <c r="C297" s="646"/>
      <c r="D297" s="646"/>
      <c r="E297" s="646"/>
      <c r="F297" s="646"/>
      <c r="G297" s="646"/>
    </row>
    <row r="298" spans="2:7" x14ac:dyDescent="0.2">
      <c r="B298" s="646"/>
      <c r="C298" s="646"/>
      <c r="D298" s="646"/>
      <c r="E298" s="646"/>
      <c r="F298" s="646"/>
      <c r="G298" s="646"/>
    </row>
    <row r="299" spans="2:7" x14ac:dyDescent="0.2">
      <c r="B299" s="705" t="s">
        <v>2326</v>
      </c>
      <c r="C299" s="677"/>
      <c r="D299" s="705" t="s">
        <v>2327</v>
      </c>
      <c r="E299" s="677"/>
      <c r="F299" s="705" t="s">
        <v>2328</v>
      </c>
      <c r="G299" s="677"/>
    </row>
    <row r="300" spans="2:7" x14ac:dyDescent="0.2">
      <c r="B300" s="705" t="s">
        <v>1316</v>
      </c>
      <c r="C300" s="677"/>
      <c r="D300" s="705" t="s">
        <v>1288</v>
      </c>
      <c r="E300" s="677"/>
      <c r="F300" s="705" t="s">
        <v>1316</v>
      </c>
      <c r="G300" s="679"/>
    </row>
    <row r="301" spans="2:7" x14ac:dyDescent="0.2">
      <c r="B301" s="656" t="s">
        <v>613</v>
      </c>
      <c r="C301" s="652"/>
      <c r="D301" s="656" t="s">
        <v>614</v>
      </c>
      <c r="E301" s="652"/>
      <c r="F301" s="656" t="s">
        <v>615</v>
      </c>
      <c r="G301" s="646"/>
    </row>
    <row r="302" spans="2:7" x14ac:dyDescent="0.2">
      <c r="B302" s="657" t="s">
        <v>616</v>
      </c>
      <c r="C302" s="652"/>
      <c r="D302" s="659" t="s">
        <v>617</v>
      </c>
      <c r="E302" s="652"/>
      <c r="F302" s="657" t="s">
        <v>618</v>
      </c>
      <c r="G302" s="646"/>
    </row>
    <row r="303" spans="2:7" x14ac:dyDescent="0.2">
      <c r="B303" s="658" t="s">
        <v>2240</v>
      </c>
      <c r="C303" s="652"/>
      <c r="D303" s="658" t="s">
        <v>619</v>
      </c>
      <c r="E303" s="652"/>
      <c r="F303" s="658" t="s">
        <v>620</v>
      </c>
      <c r="G303" s="646"/>
    </row>
    <row r="304" spans="2:7" x14ac:dyDescent="0.2">
      <c r="B304" s="657" t="s">
        <v>296</v>
      </c>
      <c r="C304" s="652"/>
      <c r="D304" s="657" t="s">
        <v>621</v>
      </c>
      <c r="E304" s="652"/>
      <c r="F304" s="657" t="s">
        <v>622</v>
      </c>
      <c r="G304" s="646"/>
    </row>
    <row r="305" spans="2:7" x14ac:dyDescent="0.2">
      <c r="B305" s="683"/>
      <c r="C305" s="652"/>
      <c r="D305" s="665" t="s">
        <v>623</v>
      </c>
      <c r="E305" s="652"/>
      <c r="F305" s="683"/>
      <c r="G305" s="646"/>
    </row>
    <row r="306" spans="2:7" x14ac:dyDescent="0.2">
      <c r="B306" s="646"/>
      <c r="C306" s="646"/>
      <c r="D306" s="646"/>
      <c r="E306" s="646"/>
      <c r="F306" s="646"/>
      <c r="G306" s="646"/>
    </row>
    <row r="307" spans="2:7" x14ac:dyDescent="0.2">
      <c r="B307" s="646"/>
      <c r="C307" s="646"/>
      <c r="D307" s="646"/>
      <c r="E307" s="646"/>
      <c r="F307" s="646"/>
      <c r="G307" s="646"/>
    </row>
    <row r="308" spans="2:7" x14ac:dyDescent="0.2">
      <c r="B308" s="705" t="s">
        <v>2329</v>
      </c>
      <c r="C308" s="677"/>
      <c r="D308" s="705" t="s">
        <v>2330</v>
      </c>
      <c r="E308" s="677"/>
      <c r="F308" s="705" t="s">
        <v>2331</v>
      </c>
      <c r="G308" s="677"/>
    </row>
    <row r="309" spans="2:7" x14ac:dyDescent="0.2">
      <c r="B309" s="705" t="s">
        <v>1316</v>
      </c>
      <c r="C309" s="677"/>
      <c r="D309" s="705" t="s">
        <v>2252</v>
      </c>
      <c r="E309" s="677"/>
      <c r="F309" s="705" t="s">
        <v>1317</v>
      </c>
      <c r="G309" s="679"/>
    </row>
    <row r="310" spans="2:7" x14ac:dyDescent="0.2">
      <c r="B310" s="656" t="s">
        <v>624</v>
      </c>
      <c r="C310" s="652"/>
      <c r="D310" s="656" t="s">
        <v>625</v>
      </c>
      <c r="E310" s="652"/>
      <c r="F310" s="656" t="s">
        <v>626</v>
      </c>
      <c r="G310" s="646"/>
    </row>
    <row r="311" spans="2:7" x14ac:dyDescent="0.2">
      <c r="B311" s="657" t="s">
        <v>627</v>
      </c>
      <c r="C311" s="652"/>
      <c r="D311" s="657" t="s">
        <v>628</v>
      </c>
      <c r="E311" s="652"/>
      <c r="F311" s="662" t="s">
        <v>629</v>
      </c>
      <c r="G311" s="646"/>
    </row>
    <row r="312" spans="2:7" x14ac:dyDescent="0.2">
      <c r="B312" s="658" t="s">
        <v>630</v>
      </c>
      <c r="C312" s="652"/>
      <c r="D312" s="658" t="s">
        <v>631</v>
      </c>
      <c r="E312" s="652"/>
      <c r="F312" s="652"/>
      <c r="G312" s="646"/>
    </row>
    <row r="313" spans="2:7" x14ac:dyDescent="0.2">
      <c r="B313" s="662" t="s">
        <v>632</v>
      </c>
      <c r="C313" s="652"/>
      <c r="D313" s="692"/>
      <c r="E313" s="652"/>
      <c r="F313" s="652"/>
      <c r="G313" s="646"/>
    </row>
    <row r="314" spans="2:7" x14ac:dyDescent="0.2">
      <c r="B314" s="646"/>
      <c r="C314" s="646"/>
      <c r="D314" s="646"/>
      <c r="E314" s="646"/>
      <c r="F314" s="646"/>
      <c r="G314" s="646"/>
    </row>
    <row r="315" spans="2:7" x14ac:dyDescent="0.2">
      <c r="B315" s="646"/>
      <c r="C315" s="646"/>
      <c r="D315" s="646"/>
      <c r="E315" s="646"/>
      <c r="F315" s="646"/>
      <c r="G315" s="646"/>
    </row>
    <row r="316" spans="2:7" x14ac:dyDescent="0.2">
      <c r="B316" s="705" t="s">
        <v>2322</v>
      </c>
      <c r="C316" s="646"/>
      <c r="D316" s="646"/>
      <c r="E316" s="646"/>
      <c r="F316" s="646"/>
      <c r="G316" s="646"/>
    </row>
    <row r="317" spans="2:7" x14ac:dyDescent="0.2">
      <c r="B317" s="705" t="s">
        <v>2543</v>
      </c>
      <c r="C317" s="646"/>
      <c r="D317" s="646"/>
      <c r="E317" s="646"/>
      <c r="F317" s="646"/>
      <c r="G317" s="646"/>
    </row>
    <row r="318" spans="2:7" x14ac:dyDescent="0.2">
      <c r="B318" s="706" t="s">
        <v>2294</v>
      </c>
      <c r="C318" s="646"/>
      <c r="D318" s="646"/>
      <c r="E318" s="646"/>
      <c r="F318" s="646"/>
      <c r="G318" s="646"/>
    </row>
    <row r="319" spans="2:7" x14ac:dyDescent="0.2">
      <c r="B319" s="646"/>
      <c r="C319" s="646"/>
      <c r="D319" s="646"/>
      <c r="E319" s="646"/>
      <c r="F319" s="646"/>
      <c r="G319" s="646"/>
    </row>
    <row r="320" spans="2:7" x14ac:dyDescent="0.2">
      <c r="B320" s="646"/>
      <c r="C320" s="646"/>
      <c r="D320" s="646"/>
      <c r="E320" s="646"/>
      <c r="F320" s="646"/>
      <c r="G320" s="646"/>
    </row>
    <row r="321" spans="2:10" x14ac:dyDescent="0.2">
      <c r="B321" s="646"/>
      <c r="C321" s="646"/>
      <c r="D321" s="646"/>
      <c r="E321" s="646"/>
      <c r="F321" s="646"/>
      <c r="G321" s="646"/>
    </row>
    <row r="322" spans="2:10" s="700" customFormat="1" ht="15" x14ac:dyDescent="0.25">
      <c r="B322" s="697"/>
      <c r="C322" s="694"/>
      <c r="D322" s="648" t="s">
        <v>633</v>
      </c>
      <c r="E322" s="694"/>
      <c r="F322" s="697"/>
      <c r="G322" s="697"/>
    </row>
    <row r="323" spans="2:10" s="700" customFormat="1" ht="15" x14ac:dyDescent="0.25">
      <c r="B323" s="697"/>
      <c r="C323" s="695"/>
      <c r="D323" s="650" t="str">
        <f>COUNTA(B327:F332)+COUNTA(B338:F341)+COUNTA(B347:F350)&amp;" Total Castings"</f>
        <v>39 Total Castings</v>
      </c>
      <c r="E323" s="695"/>
      <c r="F323" s="697"/>
      <c r="G323" s="697"/>
      <c r="J323" s="700">
        <v>39</v>
      </c>
    </row>
    <row r="324" spans="2:10" x14ac:dyDescent="0.2">
      <c r="B324" s="686"/>
      <c r="C324" s="686"/>
      <c r="D324" s="686"/>
      <c r="E324" s="686"/>
      <c r="F324" s="686"/>
      <c r="G324" s="686"/>
    </row>
    <row r="325" spans="2:10" x14ac:dyDescent="0.2">
      <c r="B325" s="705" t="s">
        <v>2323</v>
      </c>
      <c r="C325" s="677"/>
      <c r="D325" s="705" t="s">
        <v>2324</v>
      </c>
      <c r="E325" s="677"/>
      <c r="F325" s="705" t="s">
        <v>2325</v>
      </c>
      <c r="G325" s="677"/>
    </row>
    <row r="326" spans="2:10" x14ac:dyDescent="0.2">
      <c r="B326" s="705" t="s">
        <v>1288</v>
      </c>
      <c r="C326" s="677"/>
      <c r="D326" s="705" t="s">
        <v>1251</v>
      </c>
      <c r="E326" s="677"/>
      <c r="F326" s="705" t="s">
        <v>1288</v>
      </c>
      <c r="G326" s="679"/>
    </row>
    <row r="327" spans="2:10" x14ac:dyDescent="0.2">
      <c r="B327" s="656" t="s">
        <v>634</v>
      </c>
      <c r="C327" s="652"/>
      <c r="D327" s="656" t="s">
        <v>635</v>
      </c>
      <c r="E327" s="652"/>
      <c r="F327" s="656" t="s">
        <v>636</v>
      </c>
      <c r="G327" s="646"/>
    </row>
    <row r="328" spans="2:10" x14ac:dyDescent="0.2">
      <c r="B328" s="657" t="s">
        <v>637</v>
      </c>
      <c r="C328" s="652"/>
      <c r="D328" s="657" t="s">
        <v>638</v>
      </c>
      <c r="E328" s="652"/>
      <c r="F328" s="659" t="s">
        <v>639</v>
      </c>
      <c r="G328" s="646"/>
    </row>
    <row r="329" spans="2:10" x14ac:dyDescent="0.2">
      <c r="B329" s="658" t="s">
        <v>640</v>
      </c>
      <c r="C329" s="652"/>
      <c r="D329" s="661" t="s">
        <v>641</v>
      </c>
      <c r="E329" s="652"/>
      <c r="F329" s="658" t="s">
        <v>642</v>
      </c>
      <c r="G329" s="646"/>
    </row>
    <row r="330" spans="2:10" x14ac:dyDescent="0.2">
      <c r="B330" s="657" t="s">
        <v>643</v>
      </c>
      <c r="C330" s="652"/>
      <c r="D330" s="657" t="s">
        <v>644</v>
      </c>
      <c r="E330" s="652"/>
      <c r="F330" s="657" t="s">
        <v>645</v>
      </c>
      <c r="G330" s="646"/>
    </row>
    <row r="331" spans="2:10" x14ac:dyDescent="0.2">
      <c r="B331" s="658" t="s">
        <v>646</v>
      </c>
      <c r="C331" s="652"/>
      <c r="D331" s="658" t="s">
        <v>647</v>
      </c>
      <c r="E331" s="652"/>
      <c r="F331" s="658" t="s">
        <v>648</v>
      </c>
      <c r="G331" s="646"/>
    </row>
    <row r="332" spans="2:10" x14ac:dyDescent="0.2">
      <c r="B332" s="692"/>
      <c r="C332" s="652"/>
      <c r="D332" s="662" t="s">
        <v>649</v>
      </c>
      <c r="E332" s="652"/>
      <c r="F332" s="692"/>
      <c r="G332" s="646"/>
    </row>
    <row r="333" spans="2:10" x14ac:dyDescent="0.2">
      <c r="B333" s="646"/>
      <c r="C333" s="646"/>
      <c r="D333" s="707"/>
      <c r="E333" s="646"/>
      <c r="F333" s="646"/>
      <c r="G333" s="646"/>
    </row>
    <row r="334" spans="2:10" x14ac:dyDescent="0.2">
      <c r="B334" s="646"/>
      <c r="C334" s="646"/>
      <c r="D334" s="646"/>
      <c r="E334" s="646"/>
      <c r="F334" s="646"/>
      <c r="G334" s="646"/>
    </row>
    <row r="335" spans="2:10" x14ac:dyDescent="0.2">
      <c r="B335" s="646"/>
      <c r="C335" s="646"/>
      <c r="D335" s="646"/>
      <c r="E335" s="646"/>
      <c r="F335" s="646"/>
      <c r="G335" s="646"/>
    </row>
    <row r="336" spans="2:10" x14ac:dyDescent="0.2">
      <c r="B336" s="705" t="s">
        <v>2326</v>
      </c>
      <c r="C336" s="677"/>
      <c r="D336" s="705" t="s">
        <v>2327</v>
      </c>
      <c r="E336" s="677"/>
      <c r="F336" s="705" t="s">
        <v>2328</v>
      </c>
      <c r="G336" s="677"/>
    </row>
    <row r="337" spans="2:7" x14ac:dyDescent="0.2">
      <c r="B337" s="705" t="s">
        <v>1316</v>
      </c>
      <c r="C337" s="677"/>
      <c r="D337" s="705" t="s">
        <v>1316</v>
      </c>
      <c r="E337" s="677"/>
      <c r="F337" s="705" t="s">
        <v>1316</v>
      </c>
      <c r="G337" s="679"/>
    </row>
    <row r="338" spans="2:7" x14ac:dyDescent="0.2">
      <c r="B338" s="656" t="s">
        <v>650</v>
      </c>
      <c r="C338" s="652"/>
      <c r="D338" s="656" t="s">
        <v>651</v>
      </c>
      <c r="E338" s="652"/>
      <c r="F338" s="656" t="s">
        <v>652</v>
      </c>
      <c r="G338" s="646"/>
    </row>
    <row r="339" spans="2:7" x14ac:dyDescent="0.2">
      <c r="B339" s="657" t="s">
        <v>653</v>
      </c>
      <c r="C339" s="652"/>
      <c r="D339" s="657" t="s">
        <v>654</v>
      </c>
      <c r="E339" s="652"/>
      <c r="F339" s="657" t="s">
        <v>655</v>
      </c>
      <c r="G339" s="646"/>
    </row>
    <row r="340" spans="2:7" x14ac:dyDescent="0.2">
      <c r="B340" s="658" t="s">
        <v>656</v>
      </c>
      <c r="C340" s="652"/>
      <c r="D340" s="658" t="s">
        <v>657</v>
      </c>
      <c r="E340" s="652"/>
      <c r="F340" s="658" t="s">
        <v>658</v>
      </c>
      <c r="G340" s="646"/>
    </row>
    <row r="341" spans="2:7" x14ac:dyDescent="0.2">
      <c r="B341" s="662" t="s">
        <v>659</v>
      </c>
      <c r="C341" s="652"/>
      <c r="D341" s="662" t="s">
        <v>660</v>
      </c>
      <c r="E341" s="652"/>
      <c r="F341" s="662" t="s">
        <v>661</v>
      </c>
      <c r="G341" s="646"/>
    </row>
    <row r="342" spans="2:7" x14ac:dyDescent="0.2">
      <c r="B342" s="684"/>
      <c r="C342" s="652"/>
      <c r="D342" s="684"/>
      <c r="E342" s="652"/>
      <c r="F342" s="684"/>
      <c r="G342" s="646"/>
    </row>
    <row r="343" spans="2:7" x14ac:dyDescent="0.2">
      <c r="B343" s="646"/>
      <c r="C343" s="646"/>
      <c r="D343" s="646"/>
      <c r="E343" s="646"/>
      <c r="F343" s="646"/>
      <c r="G343" s="646"/>
    </row>
    <row r="344" spans="2:7" x14ac:dyDescent="0.2">
      <c r="B344" s="646"/>
      <c r="C344" s="646"/>
      <c r="D344" s="646"/>
      <c r="E344" s="646"/>
      <c r="F344" s="646"/>
      <c r="G344" s="646"/>
    </row>
    <row r="345" spans="2:7" x14ac:dyDescent="0.2">
      <c r="B345" s="705" t="s">
        <v>2329</v>
      </c>
      <c r="C345" s="677"/>
      <c r="D345" s="705" t="s">
        <v>2330</v>
      </c>
      <c r="E345" s="677"/>
      <c r="F345" s="705" t="s">
        <v>2331</v>
      </c>
      <c r="G345" s="677"/>
    </row>
    <row r="346" spans="2:7" x14ac:dyDescent="0.2">
      <c r="B346" s="705" t="s">
        <v>1316</v>
      </c>
      <c r="C346" s="677"/>
      <c r="D346" s="705" t="s">
        <v>2252</v>
      </c>
      <c r="E346" s="677"/>
      <c r="F346" s="705" t="s">
        <v>1316</v>
      </c>
      <c r="G346" s="679"/>
    </row>
    <row r="347" spans="2:7" x14ac:dyDescent="0.2">
      <c r="B347" s="656" t="s">
        <v>662</v>
      </c>
      <c r="C347" s="652"/>
      <c r="D347" s="656" t="s">
        <v>663</v>
      </c>
      <c r="E347" s="652"/>
      <c r="F347" s="656" t="s">
        <v>664</v>
      </c>
      <c r="G347" s="646"/>
    </row>
    <row r="348" spans="2:7" x14ac:dyDescent="0.2">
      <c r="B348" s="657" t="s">
        <v>665</v>
      </c>
      <c r="C348" s="652"/>
      <c r="D348" s="657" t="s">
        <v>666</v>
      </c>
      <c r="E348" s="652"/>
      <c r="F348" s="657" t="s">
        <v>667</v>
      </c>
      <c r="G348" s="646"/>
    </row>
    <row r="349" spans="2:7" x14ac:dyDescent="0.2">
      <c r="B349" s="658" t="s">
        <v>668</v>
      </c>
      <c r="C349" s="652"/>
      <c r="D349" s="658" t="s">
        <v>669</v>
      </c>
      <c r="E349" s="652"/>
      <c r="F349" s="661" t="s">
        <v>2277</v>
      </c>
      <c r="G349" s="646"/>
    </row>
    <row r="350" spans="2:7" x14ac:dyDescent="0.2">
      <c r="B350" s="662" t="s">
        <v>671</v>
      </c>
      <c r="C350" s="652"/>
      <c r="D350" s="692"/>
      <c r="E350" s="652"/>
      <c r="F350" s="662" t="s">
        <v>670</v>
      </c>
      <c r="G350" s="646"/>
    </row>
    <row r="351" spans="2:7" x14ac:dyDescent="0.2">
      <c r="B351" s="646"/>
      <c r="C351" s="646"/>
      <c r="D351" s="646"/>
      <c r="E351" s="646"/>
      <c r="F351" s="646"/>
      <c r="G351" s="646"/>
    </row>
    <row r="352" spans="2:7" x14ac:dyDescent="0.2">
      <c r="B352" s="646"/>
      <c r="C352" s="646"/>
      <c r="D352" s="646"/>
      <c r="E352" s="646"/>
      <c r="F352" s="646"/>
      <c r="G352" s="646"/>
    </row>
    <row r="353" spans="2:10" s="700" customFormat="1" ht="15" x14ac:dyDescent="0.25">
      <c r="B353" s="697"/>
      <c r="C353" s="694"/>
      <c r="D353" s="648" t="s">
        <v>672</v>
      </c>
      <c r="E353" s="694"/>
      <c r="F353" s="697"/>
      <c r="G353" s="697"/>
    </row>
    <row r="354" spans="2:10" s="700" customFormat="1" ht="15" x14ac:dyDescent="0.25">
      <c r="B354" s="697"/>
      <c r="C354" s="695"/>
      <c r="D354" s="650" t="str">
        <f>COUNTA(B358:F362)+COUNTA(B368:F372)+COUNTA(B377:F381)&amp;" Total Castings"</f>
        <v>37 Total Castings</v>
      </c>
      <c r="E354" s="695"/>
      <c r="F354" s="697"/>
      <c r="G354" s="697"/>
      <c r="J354" s="700">
        <v>37</v>
      </c>
    </row>
    <row r="355" spans="2:10" x14ac:dyDescent="0.2">
      <c r="B355" s="686"/>
      <c r="C355" s="686"/>
      <c r="D355" s="686"/>
      <c r="E355" s="686"/>
      <c r="F355" s="686"/>
      <c r="G355" s="686"/>
    </row>
    <row r="356" spans="2:10" x14ac:dyDescent="0.2">
      <c r="B356" s="705" t="s">
        <v>2323</v>
      </c>
      <c r="C356" s="677"/>
      <c r="D356" s="705" t="s">
        <v>2324</v>
      </c>
      <c r="E356" s="677"/>
      <c r="F356" s="705" t="s">
        <v>2325</v>
      </c>
      <c r="G356" s="677"/>
    </row>
    <row r="357" spans="2:10" x14ac:dyDescent="0.2">
      <c r="B357" s="705" t="s">
        <v>2252</v>
      </c>
      <c r="C357" s="677"/>
      <c r="D357" s="705" t="s">
        <v>1288</v>
      </c>
      <c r="E357" s="677"/>
      <c r="F357" s="705" t="s">
        <v>1316</v>
      </c>
      <c r="G357" s="679"/>
    </row>
    <row r="358" spans="2:10" x14ac:dyDescent="0.2">
      <c r="B358" s="656" t="s">
        <v>673</v>
      </c>
      <c r="C358" s="652"/>
      <c r="D358" s="656" t="s">
        <v>674</v>
      </c>
      <c r="E358" s="652"/>
      <c r="F358" s="656" t="s">
        <v>675</v>
      </c>
      <c r="G358" s="646"/>
    </row>
    <row r="359" spans="2:10" x14ac:dyDescent="0.2">
      <c r="B359" s="657" t="s">
        <v>676</v>
      </c>
      <c r="C359" s="652"/>
      <c r="D359" s="659" t="s">
        <v>677</v>
      </c>
      <c r="E359" s="652"/>
      <c r="F359" s="657" t="s">
        <v>678</v>
      </c>
      <c r="G359" s="646"/>
    </row>
    <row r="360" spans="2:10" x14ac:dyDescent="0.2">
      <c r="B360" s="658" t="s">
        <v>679</v>
      </c>
      <c r="C360" s="652"/>
      <c r="D360" s="658" t="s">
        <v>680</v>
      </c>
      <c r="E360" s="652"/>
      <c r="F360" s="658" t="s">
        <v>681</v>
      </c>
      <c r="G360" s="646"/>
    </row>
    <row r="361" spans="2:10" x14ac:dyDescent="0.2">
      <c r="B361" s="674"/>
      <c r="C361" s="652"/>
      <c r="D361" s="657" t="s">
        <v>682</v>
      </c>
      <c r="E361" s="652"/>
      <c r="F361" s="657" t="s">
        <v>683</v>
      </c>
      <c r="G361" s="646"/>
    </row>
    <row r="362" spans="2:10" x14ac:dyDescent="0.2">
      <c r="B362" s="683"/>
      <c r="C362" s="652"/>
      <c r="D362" s="665" t="s">
        <v>684</v>
      </c>
      <c r="E362" s="652"/>
      <c r="F362" s="683"/>
      <c r="G362" s="646"/>
    </row>
    <row r="363" spans="2:10" x14ac:dyDescent="0.2">
      <c r="B363" s="646"/>
      <c r="C363" s="646"/>
      <c r="D363" s="646"/>
      <c r="E363" s="646"/>
      <c r="F363" s="646"/>
      <c r="G363" s="646"/>
    </row>
    <row r="364" spans="2:10" x14ac:dyDescent="0.2">
      <c r="B364" s="646"/>
      <c r="C364" s="646"/>
      <c r="D364" s="646"/>
      <c r="E364" s="646"/>
      <c r="F364" s="646"/>
      <c r="G364" s="646"/>
    </row>
    <row r="365" spans="2:10" x14ac:dyDescent="0.2">
      <c r="B365" s="646"/>
      <c r="C365" s="646"/>
      <c r="D365" s="646"/>
      <c r="E365" s="646"/>
      <c r="F365" s="646"/>
      <c r="G365" s="646"/>
    </row>
    <row r="366" spans="2:10" x14ac:dyDescent="0.2">
      <c r="B366" s="705" t="s">
        <v>2326</v>
      </c>
      <c r="C366" s="677"/>
      <c r="D366" s="705" t="s">
        <v>2327</v>
      </c>
      <c r="E366" s="677"/>
      <c r="F366" s="705" t="s">
        <v>2328</v>
      </c>
      <c r="G366" s="677"/>
    </row>
    <row r="367" spans="2:10" x14ac:dyDescent="0.2">
      <c r="B367" s="705" t="s">
        <v>1316</v>
      </c>
      <c r="C367" s="677"/>
      <c r="D367" s="705" t="s">
        <v>1316</v>
      </c>
      <c r="E367" s="677"/>
      <c r="F367" s="705" t="s">
        <v>1316</v>
      </c>
      <c r="G367" s="679"/>
    </row>
    <row r="368" spans="2:10" x14ac:dyDescent="0.2">
      <c r="B368" s="656" t="s">
        <v>685</v>
      </c>
      <c r="C368" s="652"/>
      <c r="D368" s="656" t="s">
        <v>287</v>
      </c>
      <c r="E368" s="652"/>
      <c r="F368" s="656" t="s">
        <v>686</v>
      </c>
      <c r="G368" s="646"/>
    </row>
    <row r="369" spans="2:7" x14ac:dyDescent="0.2">
      <c r="B369" s="657" t="s">
        <v>687</v>
      </c>
      <c r="C369" s="652"/>
      <c r="D369" s="657" t="s">
        <v>688</v>
      </c>
      <c r="E369" s="652"/>
      <c r="F369" s="657" t="s">
        <v>689</v>
      </c>
      <c r="G369" s="646"/>
    </row>
    <row r="370" spans="2:7" x14ac:dyDescent="0.2">
      <c r="B370" s="658" t="s">
        <v>690</v>
      </c>
      <c r="C370" s="652"/>
      <c r="D370" s="658" t="s">
        <v>691</v>
      </c>
      <c r="E370" s="652"/>
      <c r="F370" s="658" t="s">
        <v>692</v>
      </c>
      <c r="G370" s="646"/>
    </row>
    <row r="371" spans="2:7" x14ac:dyDescent="0.2">
      <c r="B371" s="662" t="s">
        <v>693</v>
      </c>
      <c r="C371" s="652"/>
      <c r="D371" s="662" t="s">
        <v>694</v>
      </c>
      <c r="E371" s="652"/>
      <c r="F371" s="662" t="s">
        <v>695</v>
      </c>
      <c r="G371" s="646"/>
    </row>
    <row r="372" spans="2:7" x14ac:dyDescent="0.2">
      <c r="B372" s="652"/>
      <c r="C372" s="652"/>
      <c r="D372" s="652"/>
      <c r="E372" s="652"/>
      <c r="F372" s="652"/>
      <c r="G372" s="646"/>
    </row>
    <row r="373" spans="2:7" x14ac:dyDescent="0.2">
      <c r="B373" s="646"/>
      <c r="C373" s="646"/>
      <c r="D373" s="646"/>
      <c r="E373" s="646"/>
      <c r="F373" s="646"/>
      <c r="G373" s="646"/>
    </row>
    <row r="374" spans="2:7" x14ac:dyDescent="0.2">
      <c r="B374" s="646"/>
      <c r="C374" s="646"/>
      <c r="D374" s="646"/>
      <c r="E374" s="646"/>
      <c r="F374" s="646"/>
      <c r="G374" s="646"/>
    </row>
    <row r="375" spans="2:7" x14ac:dyDescent="0.2">
      <c r="B375" s="705" t="s">
        <v>2329</v>
      </c>
      <c r="C375" s="677"/>
      <c r="D375" s="705" t="s">
        <v>2330</v>
      </c>
      <c r="E375" s="677"/>
      <c r="F375" s="705" t="s">
        <v>2331</v>
      </c>
      <c r="G375" s="677"/>
    </row>
    <row r="376" spans="2:7" x14ac:dyDescent="0.2">
      <c r="B376" s="705" t="s">
        <v>1316</v>
      </c>
      <c r="C376" s="677"/>
      <c r="D376" s="705" t="s">
        <v>1288</v>
      </c>
      <c r="E376" s="677"/>
      <c r="F376" s="705" t="s">
        <v>1316</v>
      </c>
      <c r="G376" s="679"/>
    </row>
    <row r="377" spans="2:7" x14ac:dyDescent="0.2">
      <c r="B377" s="656" t="s">
        <v>696</v>
      </c>
      <c r="C377" s="652"/>
      <c r="D377" s="656" t="s">
        <v>697</v>
      </c>
      <c r="E377" s="652"/>
      <c r="F377" s="691" t="s">
        <v>2279</v>
      </c>
      <c r="G377" s="646"/>
    </row>
    <row r="378" spans="2:7" x14ac:dyDescent="0.2">
      <c r="B378" s="657" t="s">
        <v>699</v>
      </c>
      <c r="C378" s="652"/>
      <c r="D378" s="659" t="s">
        <v>2278</v>
      </c>
      <c r="E378" s="652"/>
      <c r="F378" s="657" t="s">
        <v>698</v>
      </c>
      <c r="G378" s="646"/>
    </row>
    <row r="379" spans="2:7" x14ac:dyDescent="0.2">
      <c r="B379" s="658" t="s">
        <v>702</v>
      </c>
      <c r="C379" s="652"/>
      <c r="D379" s="658" t="s">
        <v>700</v>
      </c>
      <c r="E379" s="652"/>
      <c r="F379" s="658" t="s">
        <v>701</v>
      </c>
      <c r="G379" s="646"/>
    </row>
    <row r="380" spans="2:7" x14ac:dyDescent="0.2">
      <c r="B380" s="657" t="s">
        <v>705</v>
      </c>
      <c r="C380" s="652"/>
      <c r="D380" s="657" t="s">
        <v>703</v>
      </c>
      <c r="E380" s="652"/>
      <c r="F380" s="657" t="s">
        <v>704</v>
      </c>
      <c r="G380" s="646"/>
    </row>
    <row r="381" spans="2:7" x14ac:dyDescent="0.2">
      <c r="B381" s="683"/>
      <c r="C381" s="652"/>
      <c r="D381" s="665" t="s">
        <v>2280</v>
      </c>
      <c r="E381" s="652"/>
      <c r="F381" s="683"/>
      <c r="G381" s="646"/>
    </row>
    <row r="382" spans="2:7" x14ac:dyDescent="0.2">
      <c r="B382" s="652"/>
      <c r="C382" s="652"/>
      <c r="D382" s="652"/>
      <c r="E382" s="652"/>
      <c r="F382" s="652"/>
      <c r="G382" s="646"/>
    </row>
    <row r="383" spans="2:7" x14ac:dyDescent="0.2">
      <c r="B383" s="646"/>
      <c r="C383" s="646"/>
      <c r="D383" s="646"/>
      <c r="E383" s="646"/>
      <c r="F383" s="646"/>
      <c r="G383" s="646"/>
    </row>
    <row r="384" spans="2:7" ht="15" x14ac:dyDescent="0.2">
      <c r="B384" s="686"/>
      <c r="C384" s="694"/>
      <c r="D384" s="648" t="s">
        <v>706</v>
      </c>
      <c r="E384" s="694"/>
      <c r="F384" s="686"/>
      <c r="G384" s="686"/>
    </row>
    <row r="385" spans="2:10" ht="15" x14ac:dyDescent="0.2">
      <c r="B385" s="686"/>
      <c r="C385" s="695"/>
      <c r="D385" s="650" t="str">
        <f>COUNTA(B389:F400)+COUNTA(B405:F411)+COUNTA(B416:F421)&amp;" Total Castings"</f>
        <v>56 Total Castings</v>
      </c>
      <c r="E385" s="695"/>
      <c r="F385" s="686"/>
      <c r="G385" s="686"/>
      <c r="J385" s="645">
        <v>56</v>
      </c>
    </row>
    <row r="386" spans="2:10" x14ac:dyDescent="0.2">
      <c r="B386" s="686"/>
      <c r="C386" s="686"/>
      <c r="D386" s="686"/>
      <c r="E386" s="686"/>
      <c r="F386" s="686"/>
      <c r="G386" s="686"/>
    </row>
    <row r="387" spans="2:10" x14ac:dyDescent="0.2">
      <c r="B387" s="705" t="s">
        <v>2323</v>
      </c>
      <c r="C387" s="677"/>
      <c r="D387" s="705" t="s">
        <v>2324</v>
      </c>
      <c r="E387" s="677"/>
      <c r="F387" s="705" t="s">
        <v>2325</v>
      </c>
      <c r="G387" s="677"/>
    </row>
    <row r="388" spans="2:10" x14ac:dyDescent="0.2">
      <c r="B388" s="705" t="s">
        <v>2241</v>
      </c>
      <c r="C388" s="677"/>
      <c r="D388" s="705" t="s">
        <v>1251</v>
      </c>
      <c r="E388" s="677"/>
      <c r="F388" s="705" t="s">
        <v>1251</v>
      </c>
      <c r="G388" s="679"/>
    </row>
    <row r="389" spans="2:10" x14ac:dyDescent="0.2">
      <c r="B389" s="708" t="s">
        <v>707</v>
      </c>
      <c r="C389" s="652"/>
      <c r="D389" s="708" t="s">
        <v>708</v>
      </c>
      <c r="E389" s="652"/>
      <c r="F389" s="708" t="s">
        <v>709</v>
      </c>
      <c r="G389" s="646"/>
    </row>
    <row r="390" spans="2:10" x14ac:dyDescent="0.2">
      <c r="B390" s="684" t="s">
        <v>710</v>
      </c>
      <c r="C390" s="652"/>
      <c r="D390" s="684" t="s">
        <v>711</v>
      </c>
      <c r="E390" s="652"/>
      <c r="F390" s="684" t="s">
        <v>712</v>
      </c>
      <c r="G390" s="646"/>
    </row>
    <row r="391" spans="2:10" x14ac:dyDescent="0.2">
      <c r="B391" s="708" t="s">
        <v>713</v>
      </c>
      <c r="C391" s="652"/>
      <c r="D391" s="708" t="s">
        <v>714</v>
      </c>
      <c r="E391" s="652"/>
      <c r="F391" s="708" t="s">
        <v>715</v>
      </c>
      <c r="G391" s="646"/>
    </row>
    <row r="392" spans="2:10" x14ac:dyDescent="0.2">
      <c r="B392" s="684" t="s">
        <v>716</v>
      </c>
      <c r="C392" s="652"/>
      <c r="D392" s="684" t="s">
        <v>717</v>
      </c>
      <c r="E392" s="652"/>
      <c r="F392" s="684" t="s">
        <v>718</v>
      </c>
      <c r="G392" s="646"/>
    </row>
    <row r="393" spans="2:10" x14ac:dyDescent="0.2">
      <c r="B393" s="708" t="s">
        <v>719</v>
      </c>
      <c r="C393" s="652"/>
      <c r="D393" s="708" t="s">
        <v>720</v>
      </c>
      <c r="E393" s="652"/>
      <c r="F393" s="708" t="s">
        <v>721</v>
      </c>
      <c r="G393" s="646"/>
    </row>
    <row r="394" spans="2:10" x14ac:dyDescent="0.2">
      <c r="B394" s="684" t="s">
        <v>722</v>
      </c>
      <c r="C394" s="652"/>
      <c r="D394" s="684" t="s">
        <v>723</v>
      </c>
      <c r="E394" s="652"/>
      <c r="F394" s="684" t="s">
        <v>724</v>
      </c>
      <c r="G394" s="646"/>
    </row>
    <row r="395" spans="2:10" x14ac:dyDescent="0.2">
      <c r="B395" s="708" t="s">
        <v>725</v>
      </c>
      <c r="C395" s="652"/>
      <c r="D395" s="652"/>
      <c r="E395" s="652"/>
      <c r="F395" s="652"/>
      <c r="G395" s="646"/>
    </row>
    <row r="396" spans="2:10" x14ac:dyDescent="0.2">
      <c r="B396" s="684" t="s">
        <v>726</v>
      </c>
      <c r="C396" s="652"/>
      <c r="D396" s="652"/>
      <c r="E396" s="652"/>
      <c r="F396" s="652"/>
      <c r="G396" s="646"/>
    </row>
    <row r="397" spans="2:10" x14ac:dyDescent="0.2">
      <c r="B397" s="708" t="s">
        <v>727</v>
      </c>
      <c r="C397" s="652"/>
      <c r="D397" s="652"/>
      <c r="E397" s="652"/>
      <c r="F397" s="652"/>
      <c r="G397" s="646"/>
    </row>
    <row r="398" spans="2:10" x14ac:dyDescent="0.2">
      <c r="B398" s="684" t="s">
        <v>728</v>
      </c>
      <c r="C398" s="652"/>
      <c r="D398" s="652"/>
      <c r="E398" s="652"/>
      <c r="F398" s="652"/>
      <c r="G398" s="646"/>
    </row>
    <row r="399" spans="2:10" x14ac:dyDescent="0.2">
      <c r="B399" s="708" t="s">
        <v>2290</v>
      </c>
      <c r="C399" s="652"/>
      <c r="D399" s="652"/>
      <c r="E399" s="652"/>
      <c r="F399" s="652"/>
      <c r="G399" s="646"/>
    </row>
    <row r="400" spans="2:10" x14ac:dyDescent="0.2">
      <c r="B400" s="684" t="s">
        <v>729</v>
      </c>
      <c r="C400" s="652"/>
      <c r="D400" s="652"/>
      <c r="E400" s="652"/>
      <c r="F400" s="652"/>
      <c r="G400" s="646"/>
    </row>
    <row r="401" spans="2:7" x14ac:dyDescent="0.2">
      <c r="G401" s="646"/>
    </row>
    <row r="402" spans="2:7" x14ac:dyDescent="0.2">
      <c r="B402" s="646"/>
      <c r="C402" s="646"/>
      <c r="D402" s="646"/>
      <c r="E402" s="646"/>
      <c r="F402" s="646"/>
      <c r="G402" s="646"/>
    </row>
    <row r="403" spans="2:7" x14ac:dyDescent="0.2">
      <c r="B403" s="705" t="s">
        <v>2326</v>
      </c>
      <c r="C403" s="677"/>
      <c r="D403" s="705" t="s">
        <v>2327</v>
      </c>
      <c r="E403" s="677"/>
      <c r="F403" s="705" t="s">
        <v>2328</v>
      </c>
      <c r="G403" s="677"/>
    </row>
    <row r="404" spans="2:7" x14ac:dyDescent="0.2">
      <c r="B404" s="705" t="s">
        <v>1251</v>
      </c>
      <c r="C404" s="646"/>
      <c r="D404" s="705" t="s">
        <v>2233</v>
      </c>
      <c r="E404" s="646"/>
      <c r="F404" s="705" t="s">
        <v>1251</v>
      </c>
      <c r="G404" s="679"/>
    </row>
    <row r="405" spans="2:7" x14ac:dyDescent="0.2">
      <c r="B405" s="656" t="s">
        <v>730</v>
      </c>
      <c r="C405" s="652"/>
      <c r="D405" s="656" t="s">
        <v>731</v>
      </c>
      <c r="E405" s="652"/>
      <c r="F405" s="656" t="s">
        <v>732</v>
      </c>
      <c r="G405" s="646"/>
    </row>
    <row r="406" spans="2:7" x14ac:dyDescent="0.2">
      <c r="B406" s="657" t="s">
        <v>733</v>
      </c>
      <c r="C406" s="652"/>
      <c r="D406" s="657" t="s">
        <v>734</v>
      </c>
      <c r="E406" s="652"/>
      <c r="F406" s="657" t="s">
        <v>735</v>
      </c>
      <c r="G406" s="646"/>
    </row>
    <row r="407" spans="2:7" x14ac:dyDescent="0.2">
      <c r="B407" s="658" t="s">
        <v>736</v>
      </c>
      <c r="C407" s="652"/>
      <c r="D407" s="658" t="s">
        <v>737</v>
      </c>
      <c r="E407" s="652"/>
      <c r="F407" s="658" t="s">
        <v>738</v>
      </c>
      <c r="G407" s="646"/>
    </row>
    <row r="408" spans="2:7" x14ac:dyDescent="0.2">
      <c r="B408" s="657" t="s">
        <v>2287</v>
      </c>
      <c r="C408" s="652"/>
      <c r="D408" s="657" t="s">
        <v>739</v>
      </c>
      <c r="E408" s="652"/>
      <c r="F408" s="657" t="s">
        <v>740</v>
      </c>
      <c r="G408" s="646"/>
    </row>
    <row r="409" spans="2:7" x14ac:dyDescent="0.2">
      <c r="B409" s="658" t="s">
        <v>741</v>
      </c>
      <c r="C409" s="652"/>
      <c r="D409" s="661" t="s">
        <v>2281</v>
      </c>
      <c r="E409" s="652"/>
      <c r="F409" s="658" t="s">
        <v>743</v>
      </c>
      <c r="G409" s="646"/>
    </row>
    <row r="410" spans="2:7" x14ac:dyDescent="0.2">
      <c r="B410" s="657" t="s">
        <v>492</v>
      </c>
      <c r="C410" s="652"/>
      <c r="D410" s="657" t="s">
        <v>742</v>
      </c>
      <c r="E410" s="652"/>
      <c r="F410" s="657" t="s">
        <v>745</v>
      </c>
      <c r="G410" s="646"/>
    </row>
    <row r="411" spans="2:7" x14ac:dyDescent="0.2">
      <c r="B411" s="665"/>
      <c r="C411" s="652"/>
      <c r="D411" s="665" t="s">
        <v>744</v>
      </c>
      <c r="E411" s="652"/>
      <c r="F411" s="665"/>
      <c r="G411" s="646"/>
    </row>
    <row r="412" spans="2:7" x14ac:dyDescent="0.2">
      <c r="B412" s="646"/>
      <c r="C412" s="646"/>
      <c r="D412" s="646"/>
      <c r="E412" s="646"/>
      <c r="F412" s="646"/>
      <c r="G412" s="646"/>
    </row>
    <row r="413" spans="2:7" x14ac:dyDescent="0.2">
      <c r="B413" s="646"/>
      <c r="C413" s="677"/>
      <c r="D413" s="646"/>
      <c r="E413" s="677"/>
      <c r="F413" s="646"/>
      <c r="G413" s="646"/>
    </row>
    <row r="414" spans="2:7" x14ac:dyDescent="0.2">
      <c r="B414" s="705" t="s">
        <v>2329</v>
      </c>
      <c r="C414" s="677"/>
      <c r="D414" s="705" t="s">
        <v>2330</v>
      </c>
      <c r="E414" s="677"/>
      <c r="F414" s="705" t="s">
        <v>2331</v>
      </c>
      <c r="G414" s="677"/>
    </row>
    <row r="415" spans="2:7" x14ac:dyDescent="0.2">
      <c r="B415" s="705" t="s">
        <v>1251</v>
      </c>
      <c r="C415" s="646"/>
      <c r="D415" s="705" t="s">
        <v>1316</v>
      </c>
      <c r="E415" s="646"/>
      <c r="F415" s="705" t="s">
        <v>2252</v>
      </c>
      <c r="G415" s="679"/>
    </row>
    <row r="416" spans="2:7" x14ac:dyDescent="0.2">
      <c r="B416" s="656" t="s">
        <v>746</v>
      </c>
      <c r="C416" s="652"/>
      <c r="D416" s="656" t="s">
        <v>747</v>
      </c>
      <c r="E416" s="652"/>
      <c r="F416" s="656" t="s">
        <v>2288</v>
      </c>
      <c r="G416" s="646"/>
    </row>
    <row r="417" spans="2:10" x14ac:dyDescent="0.2">
      <c r="B417" s="657" t="s">
        <v>748</v>
      </c>
      <c r="C417" s="652"/>
      <c r="D417" s="657" t="s">
        <v>749</v>
      </c>
      <c r="E417" s="652"/>
      <c r="F417" s="657" t="s">
        <v>750</v>
      </c>
      <c r="G417" s="646"/>
    </row>
    <row r="418" spans="2:10" x14ac:dyDescent="0.2">
      <c r="B418" s="658" t="s">
        <v>751</v>
      </c>
      <c r="C418" s="652"/>
      <c r="D418" s="661" t="s">
        <v>2282</v>
      </c>
      <c r="E418" s="652"/>
      <c r="F418" s="661" t="s">
        <v>2283</v>
      </c>
      <c r="G418" s="646"/>
    </row>
    <row r="419" spans="2:10" x14ac:dyDescent="0.2">
      <c r="B419" s="657" t="s">
        <v>2285</v>
      </c>
      <c r="C419" s="652"/>
      <c r="D419" s="657" t="s">
        <v>752</v>
      </c>
      <c r="E419" s="652"/>
      <c r="F419" s="657"/>
      <c r="G419" s="646"/>
    </row>
    <row r="420" spans="2:10" x14ac:dyDescent="0.2">
      <c r="B420" s="658" t="s">
        <v>753</v>
      </c>
      <c r="C420" s="652"/>
      <c r="D420" s="658"/>
      <c r="E420" s="652"/>
      <c r="F420" s="658"/>
      <c r="G420" s="646"/>
    </row>
    <row r="421" spans="2:10" x14ac:dyDescent="0.2">
      <c r="B421" s="662" t="s">
        <v>577</v>
      </c>
      <c r="C421" s="652"/>
      <c r="D421" s="662"/>
      <c r="E421" s="652"/>
      <c r="F421" s="662"/>
      <c r="G421" s="646"/>
    </row>
    <row r="422" spans="2:10" x14ac:dyDescent="0.2">
      <c r="B422" s="707"/>
      <c r="C422" s="646"/>
      <c r="D422" s="707"/>
      <c r="E422" s="646"/>
      <c r="F422" s="707"/>
      <c r="G422" s="646"/>
    </row>
    <row r="423" spans="2:10" x14ac:dyDescent="0.2">
      <c r="G423" s="646"/>
    </row>
    <row r="424" spans="2:10" x14ac:dyDescent="0.2">
      <c r="B424" s="646"/>
      <c r="C424" s="646"/>
      <c r="D424" s="646"/>
      <c r="E424" s="646"/>
      <c r="F424" s="646"/>
      <c r="G424" s="646"/>
    </row>
    <row r="425" spans="2:10" ht="15" x14ac:dyDescent="0.2">
      <c r="B425" s="686"/>
      <c r="C425" s="694"/>
      <c r="D425" s="648" t="s">
        <v>754</v>
      </c>
      <c r="E425" s="694"/>
      <c r="F425" s="686"/>
      <c r="G425" s="686"/>
    </row>
    <row r="426" spans="2:10" ht="15" x14ac:dyDescent="0.2">
      <c r="B426" s="686"/>
      <c r="C426" s="695"/>
      <c r="D426" s="650" t="str">
        <f>COUNTA(B430:F435)+COUNTA(B440:F445)+COUNTA(B450:F453)&amp;" Total Castings"</f>
        <v>45 Total Castings</v>
      </c>
      <c r="E426" s="695"/>
      <c r="F426" s="686"/>
      <c r="G426" s="686"/>
      <c r="J426" s="645">
        <v>45</v>
      </c>
    </row>
    <row r="427" spans="2:10" x14ac:dyDescent="0.2">
      <c r="C427" s="677"/>
      <c r="D427" s="686"/>
      <c r="E427" s="677"/>
      <c r="F427" s="686"/>
      <c r="G427" s="677"/>
    </row>
    <row r="428" spans="2:10" x14ac:dyDescent="0.2">
      <c r="B428" s="705" t="s">
        <v>2323</v>
      </c>
      <c r="C428" s="677"/>
      <c r="D428" s="705" t="s">
        <v>2324</v>
      </c>
      <c r="E428" s="677"/>
      <c r="F428" s="705" t="s">
        <v>2325</v>
      </c>
      <c r="G428" s="679"/>
    </row>
    <row r="429" spans="2:10" x14ac:dyDescent="0.2">
      <c r="B429" s="705" t="s">
        <v>1251</v>
      </c>
      <c r="C429" s="646"/>
      <c r="D429" s="705" t="s">
        <v>1251</v>
      </c>
      <c r="E429" s="646"/>
      <c r="F429" s="705" t="s">
        <v>1251</v>
      </c>
      <c r="G429" s="646"/>
    </row>
    <row r="430" spans="2:10" x14ac:dyDescent="0.2">
      <c r="B430" s="656" t="s">
        <v>755</v>
      </c>
      <c r="C430" s="652"/>
      <c r="D430" s="656" t="s">
        <v>756</v>
      </c>
      <c r="E430" s="652"/>
      <c r="F430" s="656" t="s">
        <v>757</v>
      </c>
      <c r="G430" s="646"/>
    </row>
    <row r="431" spans="2:10" x14ac:dyDescent="0.2">
      <c r="B431" s="657" t="s">
        <v>758</v>
      </c>
      <c r="C431" s="652"/>
      <c r="D431" s="657" t="s">
        <v>759</v>
      </c>
      <c r="E431" s="652"/>
      <c r="F431" s="657" t="s">
        <v>760</v>
      </c>
      <c r="G431" s="646"/>
    </row>
    <row r="432" spans="2:10" x14ac:dyDescent="0.2">
      <c r="B432" s="658" t="s">
        <v>761</v>
      </c>
      <c r="C432" s="652"/>
      <c r="D432" s="658" t="s">
        <v>762</v>
      </c>
      <c r="E432" s="652"/>
      <c r="F432" s="658" t="s">
        <v>763</v>
      </c>
      <c r="G432" s="646"/>
    </row>
    <row r="433" spans="2:7" x14ac:dyDescent="0.2">
      <c r="B433" s="657" t="s">
        <v>764</v>
      </c>
      <c r="C433" s="652"/>
      <c r="D433" s="657" t="s">
        <v>765</v>
      </c>
      <c r="E433" s="652"/>
      <c r="F433" s="657" t="s">
        <v>766</v>
      </c>
      <c r="G433" s="646"/>
    </row>
    <row r="434" spans="2:7" x14ac:dyDescent="0.2">
      <c r="B434" s="658" t="s">
        <v>767</v>
      </c>
      <c r="C434" s="652"/>
      <c r="D434" s="658" t="s">
        <v>768</v>
      </c>
      <c r="E434" s="652"/>
      <c r="F434" s="658" t="s">
        <v>769</v>
      </c>
      <c r="G434" s="646"/>
    </row>
    <row r="435" spans="2:7" x14ac:dyDescent="0.2">
      <c r="B435" s="662" t="s">
        <v>2289</v>
      </c>
      <c r="C435" s="652"/>
      <c r="D435" s="662" t="s">
        <v>770</v>
      </c>
      <c r="E435" s="652"/>
      <c r="F435" s="662" t="s">
        <v>771</v>
      </c>
      <c r="G435" s="646"/>
    </row>
    <row r="436" spans="2:7" x14ac:dyDescent="0.2">
      <c r="B436" s="646"/>
      <c r="C436" s="646"/>
      <c r="D436" s="646"/>
      <c r="E436" s="646"/>
      <c r="F436" s="646"/>
      <c r="G436" s="646"/>
    </row>
    <row r="437" spans="2:7" x14ac:dyDescent="0.2">
      <c r="B437" s="646"/>
      <c r="C437" s="677"/>
      <c r="D437" s="646"/>
      <c r="E437" s="677"/>
      <c r="F437" s="646"/>
      <c r="G437" s="677"/>
    </row>
    <row r="438" spans="2:7" x14ac:dyDescent="0.2">
      <c r="B438" s="705" t="s">
        <v>2326</v>
      </c>
      <c r="C438" s="677"/>
      <c r="D438" s="705" t="s">
        <v>2327</v>
      </c>
      <c r="E438" s="677"/>
      <c r="F438" s="705" t="s">
        <v>2328</v>
      </c>
      <c r="G438" s="679"/>
    </row>
    <row r="439" spans="2:7" x14ac:dyDescent="0.2">
      <c r="B439" s="705" t="s">
        <v>1251</v>
      </c>
      <c r="C439" s="646"/>
      <c r="D439" s="705" t="s">
        <v>1288</v>
      </c>
      <c r="E439" s="646"/>
      <c r="F439" s="705" t="s">
        <v>1288</v>
      </c>
      <c r="G439" s="646"/>
    </row>
    <row r="440" spans="2:7" x14ac:dyDescent="0.2">
      <c r="B440" s="656" t="s">
        <v>2286</v>
      </c>
      <c r="C440" s="652"/>
      <c r="D440" s="656" t="s">
        <v>772</v>
      </c>
      <c r="E440" s="652"/>
      <c r="F440" s="656" t="s">
        <v>773</v>
      </c>
      <c r="G440" s="646"/>
    </row>
    <row r="441" spans="2:7" x14ac:dyDescent="0.2">
      <c r="B441" s="657" t="s">
        <v>774</v>
      </c>
      <c r="C441" s="652"/>
      <c r="D441" s="657" t="s">
        <v>775</v>
      </c>
      <c r="E441" s="652"/>
      <c r="F441" s="657" t="s">
        <v>776</v>
      </c>
      <c r="G441" s="646"/>
    </row>
    <row r="442" spans="2:7" x14ac:dyDescent="0.2">
      <c r="B442" s="658" t="s">
        <v>777</v>
      </c>
      <c r="C442" s="652"/>
      <c r="D442" s="658" t="s">
        <v>778</v>
      </c>
      <c r="E442" s="652"/>
      <c r="F442" s="658" t="s">
        <v>779</v>
      </c>
      <c r="G442" s="646"/>
    </row>
    <row r="443" spans="2:7" x14ac:dyDescent="0.2">
      <c r="B443" s="657" t="s">
        <v>780</v>
      </c>
      <c r="C443" s="652"/>
      <c r="D443" s="657" t="s">
        <v>781</v>
      </c>
      <c r="E443" s="652"/>
      <c r="F443" s="659" t="s">
        <v>2284</v>
      </c>
      <c r="G443" s="646"/>
    </row>
    <row r="444" spans="2:7" x14ac:dyDescent="0.2">
      <c r="B444" s="658" t="s">
        <v>783</v>
      </c>
      <c r="C444" s="652"/>
      <c r="D444" s="658" t="s">
        <v>784</v>
      </c>
      <c r="E444" s="652"/>
      <c r="F444" s="658" t="s">
        <v>782</v>
      </c>
      <c r="G444" s="646"/>
    </row>
    <row r="445" spans="2:7" x14ac:dyDescent="0.2">
      <c r="B445" s="662" t="s">
        <v>785</v>
      </c>
      <c r="C445" s="652"/>
      <c r="D445" s="662"/>
      <c r="E445" s="652"/>
      <c r="F445" s="662"/>
      <c r="G445" s="646"/>
    </row>
    <row r="446" spans="2:7" x14ac:dyDescent="0.2">
      <c r="B446" s="646"/>
      <c r="C446" s="646"/>
      <c r="D446" s="646"/>
      <c r="E446" s="646"/>
      <c r="F446" s="646"/>
      <c r="G446" s="646"/>
    </row>
    <row r="447" spans="2:7" x14ac:dyDescent="0.2">
      <c r="B447" s="646"/>
      <c r="C447" s="677"/>
      <c r="D447" s="646"/>
      <c r="E447" s="677"/>
      <c r="F447" s="646"/>
      <c r="G447" s="677"/>
    </row>
    <row r="448" spans="2:7" x14ac:dyDescent="0.2">
      <c r="B448" s="705" t="s">
        <v>2329</v>
      </c>
      <c r="C448" s="677"/>
      <c r="D448" s="705" t="s">
        <v>2330</v>
      </c>
      <c r="E448" s="677"/>
      <c r="F448" s="705" t="s">
        <v>2331</v>
      </c>
      <c r="G448" s="679"/>
    </row>
    <row r="449" spans="2:10" x14ac:dyDescent="0.2">
      <c r="B449" s="705" t="s">
        <v>1316</v>
      </c>
      <c r="C449" s="646"/>
      <c r="D449" s="705" t="s">
        <v>1316</v>
      </c>
      <c r="E449" s="646"/>
      <c r="F449" s="705" t="s">
        <v>2252</v>
      </c>
      <c r="G449" s="646"/>
    </row>
    <row r="450" spans="2:10" x14ac:dyDescent="0.2">
      <c r="B450" s="656" t="s">
        <v>786</v>
      </c>
      <c r="C450" s="652"/>
      <c r="D450" s="656" t="s">
        <v>787</v>
      </c>
      <c r="E450" s="652"/>
      <c r="F450" s="656" t="s">
        <v>788</v>
      </c>
      <c r="G450" s="646"/>
    </row>
    <row r="451" spans="2:10" x14ac:dyDescent="0.2">
      <c r="B451" s="657" t="s">
        <v>789</v>
      </c>
      <c r="C451" s="652"/>
      <c r="D451" s="657" t="s">
        <v>790</v>
      </c>
      <c r="E451" s="652"/>
      <c r="F451" s="657" t="s">
        <v>791</v>
      </c>
      <c r="G451" s="646"/>
    </row>
    <row r="452" spans="2:10" x14ac:dyDescent="0.2">
      <c r="B452" s="658" t="s">
        <v>792</v>
      </c>
      <c r="C452" s="652"/>
      <c r="D452" s="661" t="s">
        <v>2291</v>
      </c>
      <c r="E452" s="652"/>
      <c r="F452" s="658" t="s">
        <v>794</v>
      </c>
      <c r="G452" s="646"/>
    </row>
    <row r="453" spans="2:10" x14ac:dyDescent="0.2">
      <c r="B453" s="662" t="s">
        <v>795</v>
      </c>
      <c r="C453" s="652"/>
      <c r="D453" s="662" t="s">
        <v>793</v>
      </c>
      <c r="E453" s="652"/>
      <c r="F453" s="662"/>
      <c r="G453" s="646"/>
    </row>
    <row r="454" spans="2:10" x14ac:dyDescent="0.2">
      <c r="B454" s="707"/>
      <c r="C454" s="646"/>
      <c r="D454" s="707"/>
      <c r="E454" s="646"/>
      <c r="F454" s="646"/>
      <c r="G454" s="646"/>
    </row>
    <row r="455" spans="2:10" x14ac:dyDescent="0.2">
      <c r="B455" s="646"/>
      <c r="C455" s="646"/>
      <c r="D455" s="646"/>
      <c r="E455" s="646"/>
      <c r="F455" s="646"/>
      <c r="G455" s="646"/>
    </row>
    <row r="456" spans="2:10" ht="15" x14ac:dyDescent="0.2">
      <c r="B456" s="686"/>
      <c r="C456" s="694"/>
      <c r="D456" s="648" t="s">
        <v>796</v>
      </c>
      <c r="E456" s="694"/>
      <c r="F456" s="686"/>
      <c r="G456" s="686"/>
    </row>
    <row r="457" spans="2:10" ht="15" x14ac:dyDescent="0.2">
      <c r="B457" s="686"/>
      <c r="C457" s="695"/>
      <c r="D457" s="650" t="str">
        <f>COUNTA(B461:F467)+COUNTA(B471:F476)+COUNTA(B481:F487)&amp;" Total Castings"</f>
        <v>55 Total Castings</v>
      </c>
      <c r="E457" s="695"/>
      <c r="F457" s="686"/>
      <c r="G457" s="686"/>
      <c r="J457" s="645">
        <v>54</v>
      </c>
    </row>
    <row r="458" spans="2:10" x14ac:dyDescent="0.2">
      <c r="B458" s="686"/>
      <c r="C458" s="677"/>
      <c r="D458" s="686"/>
      <c r="E458" s="677"/>
      <c r="F458" s="686"/>
      <c r="G458" s="677"/>
    </row>
    <row r="459" spans="2:10" x14ac:dyDescent="0.2">
      <c r="B459" s="705" t="s">
        <v>2323</v>
      </c>
      <c r="C459" s="677"/>
      <c r="D459" s="705" t="s">
        <v>2324</v>
      </c>
      <c r="E459" s="677"/>
      <c r="F459" s="705" t="s">
        <v>2325</v>
      </c>
      <c r="G459" s="679"/>
    </row>
    <row r="460" spans="2:10" x14ac:dyDescent="0.2">
      <c r="B460" s="705" t="s">
        <v>1251</v>
      </c>
      <c r="C460" s="646"/>
      <c r="D460" s="705" t="s">
        <v>1251</v>
      </c>
      <c r="E460" s="646"/>
      <c r="F460" s="705" t="s">
        <v>2233</v>
      </c>
      <c r="G460" s="646"/>
    </row>
    <row r="461" spans="2:10" x14ac:dyDescent="0.2">
      <c r="B461" s="656" t="s">
        <v>797</v>
      </c>
      <c r="C461" s="652"/>
      <c r="D461" s="656" t="s">
        <v>798</v>
      </c>
      <c r="E461" s="652"/>
      <c r="F461" s="656" t="s">
        <v>799</v>
      </c>
      <c r="G461" s="646"/>
    </row>
    <row r="462" spans="2:10" x14ac:dyDescent="0.2">
      <c r="B462" s="657" t="s">
        <v>800</v>
      </c>
      <c r="C462" s="652"/>
      <c r="D462" s="657" t="s">
        <v>801</v>
      </c>
      <c r="E462" s="652"/>
      <c r="F462" s="657" t="s">
        <v>802</v>
      </c>
      <c r="G462" s="646"/>
    </row>
    <row r="463" spans="2:10" x14ac:dyDescent="0.2">
      <c r="B463" s="658" t="s">
        <v>803</v>
      </c>
      <c r="C463" s="652"/>
      <c r="D463" s="658" t="s">
        <v>804</v>
      </c>
      <c r="E463" s="652"/>
      <c r="F463" s="658" t="s">
        <v>805</v>
      </c>
      <c r="G463" s="646"/>
    </row>
    <row r="464" spans="2:10" x14ac:dyDescent="0.2">
      <c r="B464" s="657" t="s">
        <v>806</v>
      </c>
      <c r="C464" s="652"/>
      <c r="D464" s="657" t="s">
        <v>807</v>
      </c>
      <c r="E464" s="652"/>
      <c r="F464" s="659" t="s">
        <v>2292</v>
      </c>
      <c r="G464" s="646"/>
    </row>
    <row r="465" spans="2:7" x14ac:dyDescent="0.2">
      <c r="B465" s="658" t="s">
        <v>808</v>
      </c>
      <c r="C465" s="652"/>
      <c r="D465" s="658" t="s">
        <v>809</v>
      </c>
      <c r="E465" s="652"/>
      <c r="F465" s="658" t="s">
        <v>810</v>
      </c>
      <c r="G465" s="646"/>
    </row>
    <row r="466" spans="2:7" x14ac:dyDescent="0.2">
      <c r="B466" s="662" t="s">
        <v>811</v>
      </c>
      <c r="C466" s="652"/>
      <c r="D466" s="662" t="s">
        <v>812</v>
      </c>
      <c r="E466" s="652"/>
      <c r="F466" s="657" t="s">
        <v>813</v>
      </c>
      <c r="G466" s="646"/>
    </row>
    <row r="467" spans="2:7" x14ac:dyDescent="0.2">
      <c r="B467" s="646"/>
      <c r="C467" s="646"/>
      <c r="D467" s="646"/>
      <c r="E467" s="646"/>
      <c r="F467" s="665" t="s">
        <v>2542</v>
      </c>
      <c r="G467" s="646"/>
    </row>
    <row r="468" spans="2:7" x14ac:dyDescent="0.2">
      <c r="B468" s="646"/>
      <c r="C468" s="677"/>
      <c r="D468" s="646"/>
      <c r="E468" s="677"/>
      <c r="F468" s="646"/>
      <c r="G468" s="677"/>
    </row>
    <row r="469" spans="2:7" x14ac:dyDescent="0.2">
      <c r="B469" s="705" t="s">
        <v>2326</v>
      </c>
      <c r="C469" s="677"/>
      <c r="D469" s="705" t="s">
        <v>2327</v>
      </c>
      <c r="E469" s="677"/>
      <c r="F469" s="705" t="s">
        <v>2328</v>
      </c>
      <c r="G469" s="679"/>
    </row>
    <row r="470" spans="2:7" x14ac:dyDescent="0.2">
      <c r="B470" s="705" t="s">
        <v>1251</v>
      </c>
      <c r="C470" s="646"/>
      <c r="D470" s="705" t="s">
        <v>1251</v>
      </c>
      <c r="E470" s="646"/>
      <c r="F470" s="705" t="s">
        <v>1251</v>
      </c>
      <c r="G470" s="646"/>
    </row>
    <row r="471" spans="2:7" x14ac:dyDescent="0.2">
      <c r="B471" s="656" t="s">
        <v>814</v>
      </c>
      <c r="C471" s="652"/>
      <c r="D471" s="656" t="s">
        <v>551</v>
      </c>
      <c r="E471" s="652"/>
      <c r="F471" s="656" t="s">
        <v>815</v>
      </c>
      <c r="G471" s="646"/>
    </row>
    <row r="472" spans="2:7" x14ac:dyDescent="0.2">
      <c r="B472" s="657" t="s">
        <v>816</v>
      </c>
      <c r="C472" s="652"/>
      <c r="D472" s="657" t="s">
        <v>817</v>
      </c>
      <c r="E472" s="652"/>
      <c r="F472" s="657" t="s">
        <v>818</v>
      </c>
      <c r="G472" s="646"/>
    </row>
    <row r="473" spans="2:7" x14ac:dyDescent="0.2">
      <c r="B473" s="658" t="s">
        <v>819</v>
      </c>
      <c r="C473" s="652"/>
      <c r="D473" s="658" t="s">
        <v>820</v>
      </c>
      <c r="E473" s="652"/>
      <c r="F473" s="658" t="s">
        <v>821</v>
      </c>
      <c r="G473" s="646"/>
    </row>
    <row r="474" spans="2:7" x14ac:dyDescent="0.2">
      <c r="B474" s="657" t="s">
        <v>822</v>
      </c>
      <c r="C474" s="652"/>
      <c r="D474" s="657" t="s">
        <v>823</v>
      </c>
      <c r="E474" s="652"/>
      <c r="F474" s="657" t="s">
        <v>824</v>
      </c>
      <c r="G474" s="646"/>
    </row>
    <row r="475" spans="2:7" x14ac:dyDescent="0.2">
      <c r="B475" s="658" t="s">
        <v>825</v>
      </c>
      <c r="C475" s="652"/>
      <c r="D475" s="658" t="s">
        <v>826</v>
      </c>
      <c r="E475" s="652"/>
      <c r="F475" s="658" t="s">
        <v>827</v>
      </c>
      <c r="G475" s="646"/>
    </row>
    <row r="476" spans="2:7" x14ac:dyDescent="0.2">
      <c r="B476" s="662" t="s">
        <v>828</v>
      </c>
      <c r="C476" s="652"/>
      <c r="D476" s="662" t="s">
        <v>829</v>
      </c>
      <c r="E476" s="652"/>
      <c r="F476" s="662" t="s">
        <v>830</v>
      </c>
      <c r="G476" s="646"/>
    </row>
    <row r="477" spans="2:7" x14ac:dyDescent="0.2">
      <c r="B477" s="646"/>
      <c r="C477" s="646"/>
      <c r="D477" s="646"/>
      <c r="E477" s="646"/>
      <c r="F477" s="646"/>
      <c r="G477" s="646"/>
    </row>
    <row r="478" spans="2:7" x14ac:dyDescent="0.2">
      <c r="B478" s="646"/>
      <c r="C478" s="677"/>
      <c r="D478" s="646"/>
      <c r="E478" s="677"/>
      <c r="F478" s="646"/>
      <c r="G478" s="677"/>
    </row>
    <row r="479" spans="2:7" x14ac:dyDescent="0.2">
      <c r="B479" s="705" t="s">
        <v>2329</v>
      </c>
      <c r="C479" s="677"/>
      <c r="D479" s="705" t="s">
        <v>2330</v>
      </c>
      <c r="E479" s="677"/>
      <c r="F479" s="705" t="s">
        <v>2331</v>
      </c>
      <c r="G479" s="679"/>
    </row>
    <row r="480" spans="2:7" x14ac:dyDescent="0.2">
      <c r="B480" s="705" t="s">
        <v>2233</v>
      </c>
      <c r="C480" s="646"/>
      <c r="D480" s="705" t="s">
        <v>1316</v>
      </c>
      <c r="E480" s="646"/>
      <c r="F480" s="705" t="s">
        <v>2233</v>
      </c>
      <c r="G480" s="646"/>
    </row>
    <row r="481" spans="2:10" x14ac:dyDescent="0.2">
      <c r="B481" s="691" t="s">
        <v>2293</v>
      </c>
      <c r="C481" s="652"/>
      <c r="D481" s="656" t="s">
        <v>832</v>
      </c>
      <c r="E481" s="652"/>
      <c r="F481" s="656" t="s">
        <v>833</v>
      </c>
      <c r="G481" s="646"/>
    </row>
    <row r="482" spans="2:10" x14ac:dyDescent="0.2">
      <c r="B482" s="657" t="s">
        <v>831</v>
      </c>
      <c r="C482" s="652"/>
      <c r="D482" s="657" t="s">
        <v>835</v>
      </c>
      <c r="E482" s="652"/>
      <c r="F482" s="659" t="s">
        <v>836</v>
      </c>
      <c r="G482" s="646"/>
    </row>
    <row r="483" spans="2:10" ht="22.5" x14ac:dyDescent="0.2">
      <c r="B483" s="658" t="s">
        <v>834</v>
      </c>
      <c r="C483" s="652"/>
      <c r="D483" s="658" t="s">
        <v>838</v>
      </c>
      <c r="E483" s="652"/>
      <c r="F483" s="661" t="s">
        <v>2238</v>
      </c>
      <c r="G483" s="646"/>
    </row>
    <row r="484" spans="2:10" x14ac:dyDescent="0.2">
      <c r="B484" s="657" t="s">
        <v>837</v>
      </c>
      <c r="C484" s="652"/>
      <c r="D484" s="662" t="s">
        <v>840</v>
      </c>
      <c r="E484" s="652"/>
      <c r="F484" s="659" t="s">
        <v>2275</v>
      </c>
      <c r="G484" s="646"/>
    </row>
    <row r="485" spans="2:10" x14ac:dyDescent="0.2">
      <c r="B485" s="658" t="s">
        <v>839</v>
      </c>
      <c r="C485" s="652"/>
      <c r="D485" s="652"/>
      <c r="E485" s="652"/>
      <c r="F485" s="658" t="s">
        <v>841</v>
      </c>
      <c r="G485" s="646"/>
    </row>
    <row r="486" spans="2:10" x14ac:dyDescent="0.2">
      <c r="B486" s="657" t="s">
        <v>842</v>
      </c>
      <c r="C486" s="652"/>
      <c r="D486" s="652"/>
      <c r="E486" s="652"/>
      <c r="F486" s="657" t="s">
        <v>843</v>
      </c>
      <c r="G486" s="646"/>
    </row>
    <row r="487" spans="2:10" x14ac:dyDescent="0.2">
      <c r="B487" s="665" t="s">
        <v>844</v>
      </c>
      <c r="C487" s="652"/>
      <c r="D487" s="652"/>
      <c r="E487" s="652"/>
      <c r="F487" s="689" t="s">
        <v>2294</v>
      </c>
      <c r="G487" s="646"/>
    </row>
    <row r="488" spans="2:10" x14ac:dyDescent="0.2">
      <c r="B488" s="684"/>
      <c r="C488" s="652"/>
      <c r="D488" s="652"/>
      <c r="E488" s="652"/>
      <c r="F488" s="690"/>
      <c r="G488" s="646"/>
    </row>
    <row r="489" spans="2:10" ht="15" x14ac:dyDescent="0.2">
      <c r="B489" s="686"/>
      <c r="C489" s="694"/>
      <c r="D489" s="648" t="s">
        <v>845</v>
      </c>
      <c r="E489" s="694"/>
      <c r="F489" s="686"/>
      <c r="G489" s="686"/>
    </row>
    <row r="490" spans="2:10" ht="15" x14ac:dyDescent="0.2">
      <c r="B490" s="686"/>
      <c r="C490" s="695"/>
      <c r="D490" s="650" t="str">
        <f>COUNTA(B494:F507)+COUNTA(B511:F526)+COUNTA(B530:F540)&amp;" Total Castings"</f>
        <v>112 Total Castings</v>
      </c>
      <c r="E490" s="695"/>
      <c r="F490" s="686"/>
      <c r="G490" s="686"/>
      <c r="J490" s="645">
        <v>111</v>
      </c>
    </row>
    <row r="491" spans="2:10" x14ac:dyDescent="0.2">
      <c r="B491" s="686"/>
      <c r="C491" s="677"/>
      <c r="D491" s="686"/>
      <c r="E491" s="677"/>
      <c r="F491" s="686"/>
      <c r="G491" s="677"/>
    </row>
    <row r="492" spans="2:10" x14ac:dyDescent="0.2">
      <c r="B492" s="705" t="s">
        <v>2323</v>
      </c>
      <c r="C492" s="677"/>
      <c r="D492" s="705" t="s">
        <v>2324</v>
      </c>
      <c r="E492" s="677"/>
      <c r="F492" s="705" t="s">
        <v>2325</v>
      </c>
      <c r="G492" s="679"/>
    </row>
    <row r="493" spans="2:10" x14ac:dyDescent="0.2">
      <c r="B493" s="705" t="s">
        <v>2319</v>
      </c>
      <c r="C493" s="646"/>
      <c r="D493" s="705" t="s">
        <v>151</v>
      </c>
      <c r="E493" s="646"/>
      <c r="F493" s="705" t="s">
        <v>151</v>
      </c>
      <c r="G493" s="646"/>
    </row>
    <row r="494" spans="2:10" x14ac:dyDescent="0.2">
      <c r="B494" s="656" t="s">
        <v>846</v>
      </c>
      <c r="C494" s="652"/>
      <c r="D494" s="709" t="s">
        <v>847</v>
      </c>
      <c r="E494" s="652"/>
      <c r="F494" s="709" t="s">
        <v>848</v>
      </c>
      <c r="G494" s="646"/>
    </row>
    <row r="495" spans="2:10" x14ac:dyDescent="0.2">
      <c r="B495" s="710" t="s">
        <v>849</v>
      </c>
      <c r="C495" s="652"/>
      <c r="D495" s="657" t="s">
        <v>850</v>
      </c>
      <c r="E495" s="652"/>
      <c r="F495" s="657" t="s">
        <v>851</v>
      </c>
      <c r="G495" s="646"/>
    </row>
    <row r="496" spans="2:10" x14ac:dyDescent="0.2">
      <c r="B496" s="661" t="s">
        <v>852</v>
      </c>
      <c r="C496" s="652"/>
      <c r="D496" s="711" t="s">
        <v>853</v>
      </c>
      <c r="E496" s="652"/>
      <c r="F496" s="712" t="s">
        <v>2301</v>
      </c>
      <c r="G496" s="646"/>
    </row>
    <row r="497" spans="2:7" x14ac:dyDescent="0.2">
      <c r="B497" s="657" t="s">
        <v>854</v>
      </c>
      <c r="C497" s="652"/>
      <c r="D497" s="657" t="s">
        <v>855</v>
      </c>
      <c r="E497" s="652"/>
      <c r="F497" s="710" t="s">
        <v>856</v>
      </c>
      <c r="G497" s="646"/>
    </row>
    <row r="498" spans="2:7" x14ac:dyDescent="0.2">
      <c r="B498" s="712" t="s">
        <v>857</v>
      </c>
      <c r="C498" s="652"/>
      <c r="D498" s="658" t="s">
        <v>858</v>
      </c>
      <c r="E498" s="652"/>
      <c r="F498" s="712" t="s">
        <v>859</v>
      </c>
      <c r="G498" s="646"/>
    </row>
    <row r="499" spans="2:7" x14ac:dyDescent="0.2">
      <c r="B499" s="710" t="s">
        <v>2302</v>
      </c>
      <c r="C499" s="652"/>
      <c r="D499" s="710" t="s">
        <v>2303</v>
      </c>
      <c r="E499" s="652"/>
      <c r="F499" s="657" t="s">
        <v>860</v>
      </c>
      <c r="G499" s="646"/>
    </row>
    <row r="500" spans="2:7" x14ac:dyDescent="0.2">
      <c r="B500" s="712" t="s">
        <v>2304</v>
      </c>
      <c r="C500" s="652"/>
      <c r="D500" s="712" t="s">
        <v>861</v>
      </c>
      <c r="E500" s="652"/>
      <c r="F500" s="658" t="s">
        <v>862</v>
      </c>
      <c r="G500" s="646"/>
    </row>
    <row r="501" spans="2:7" x14ac:dyDescent="0.2">
      <c r="B501" s="657" t="s">
        <v>863</v>
      </c>
      <c r="C501" s="652"/>
      <c r="D501" s="657" t="s">
        <v>864</v>
      </c>
      <c r="E501" s="652"/>
      <c r="F501" s="657" t="s">
        <v>865</v>
      </c>
      <c r="G501" s="646"/>
    </row>
    <row r="502" spans="2:7" x14ac:dyDescent="0.2">
      <c r="B502" s="712" t="s">
        <v>2305</v>
      </c>
      <c r="C502" s="652"/>
      <c r="D502" s="712" t="s">
        <v>2306</v>
      </c>
      <c r="E502" s="652"/>
      <c r="F502" s="658" t="s">
        <v>866</v>
      </c>
      <c r="G502" s="646"/>
    </row>
    <row r="503" spans="2:7" x14ac:dyDescent="0.2">
      <c r="B503" s="657" t="s">
        <v>867</v>
      </c>
      <c r="C503" s="652"/>
      <c r="D503" s="710" t="s">
        <v>2307</v>
      </c>
      <c r="E503" s="652"/>
      <c r="F503" s="710" t="s">
        <v>868</v>
      </c>
      <c r="G503" s="646"/>
    </row>
    <row r="504" spans="2:7" x14ac:dyDescent="0.2">
      <c r="B504" s="658" t="s">
        <v>869</v>
      </c>
      <c r="C504" s="652"/>
      <c r="D504" s="712" t="s">
        <v>2308</v>
      </c>
      <c r="E504" s="652"/>
      <c r="F504" s="712" t="s">
        <v>870</v>
      </c>
      <c r="G504" s="646"/>
    </row>
    <row r="505" spans="2:7" x14ac:dyDescent="0.2">
      <c r="B505" s="657" t="s">
        <v>871</v>
      </c>
      <c r="C505" s="652"/>
      <c r="D505" s="710" t="s">
        <v>872</v>
      </c>
      <c r="E505" s="652"/>
      <c r="F505" s="710" t="s">
        <v>873</v>
      </c>
      <c r="G505" s="646"/>
    </row>
    <row r="506" spans="2:7" x14ac:dyDescent="0.2">
      <c r="B506" s="712" t="s">
        <v>874</v>
      </c>
      <c r="C506" s="652"/>
      <c r="D506" s="658" t="s">
        <v>875</v>
      </c>
      <c r="E506" s="652"/>
      <c r="F506" s="661" t="s">
        <v>2544</v>
      </c>
      <c r="G506" s="646"/>
    </row>
    <row r="507" spans="2:7" x14ac:dyDescent="0.2">
      <c r="B507" s="692"/>
      <c r="C507" s="652"/>
      <c r="D507" s="713" t="s">
        <v>2309</v>
      </c>
      <c r="E507" s="652"/>
      <c r="F507" s="714" t="s">
        <v>876</v>
      </c>
      <c r="G507" s="646"/>
    </row>
    <row r="508" spans="2:7" x14ac:dyDescent="0.2">
      <c r="B508" s="646"/>
      <c r="C508" s="677"/>
      <c r="D508" s="646"/>
      <c r="E508" s="677"/>
      <c r="F508" s="646"/>
      <c r="G508" s="677"/>
    </row>
    <row r="509" spans="2:7" x14ac:dyDescent="0.2">
      <c r="B509" s="705" t="s">
        <v>2326</v>
      </c>
      <c r="C509" s="677"/>
      <c r="D509" s="705" t="s">
        <v>2327</v>
      </c>
      <c r="E509" s="677"/>
      <c r="F509" s="705" t="s">
        <v>2328</v>
      </c>
      <c r="G509" s="679"/>
    </row>
    <row r="510" spans="2:7" x14ac:dyDescent="0.2">
      <c r="B510" s="705" t="s">
        <v>2241</v>
      </c>
      <c r="C510" s="646"/>
      <c r="D510" s="705" t="s">
        <v>2318</v>
      </c>
      <c r="E510" s="646"/>
      <c r="F510" s="705" t="s">
        <v>2235</v>
      </c>
      <c r="G510" s="646"/>
    </row>
    <row r="511" spans="2:7" x14ac:dyDescent="0.2">
      <c r="B511" s="656" t="s">
        <v>877</v>
      </c>
      <c r="C511" s="652"/>
      <c r="D511" s="656" t="s">
        <v>878</v>
      </c>
      <c r="E511" s="652"/>
      <c r="F511" s="715" t="s">
        <v>879</v>
      </c>
      <c r="G511" s="646"/>
    </row>
    <row r="512" spans="2:7" x14ac:dyDescent="0.2">
      <c r="B512" s="710" t="s">
        <v>880</v>
      </c>
      <c r="C512" s="652"/>
      <c r="D512" s="710" t="s">
        <v>2310</v>
      </c>
      <c r="E512" s="652"/>
      <c r="F512" s="657" t="s">
        <v>881</v>
      </c>
      <c r="G512" s="646"/>
    </row>
    <row r="513" spans="2:7" x14ac:dyDescent="0.2">
      <c r="B513" s="664" t="s">
        <v>882</v>
      </c>
      <c r="C513" s="652"/>
      <c r="D513" s="693" t="s">
        <v>883</v>
      </c>
      <c r="E513" s="652"/>
      <c r="F513" s="658" t="s">
        <v>884</v>
      </c>
      <c r="G513" s="646"/>
    </row>
    <row r="514" spans="2:7" x14ac:dyDescent="0.2">
      <c r="B514" s="710" t="s">
        <v>2311</v>
      </c>
      <c r="C514" s="652"/>
      <c r="D514" s="657" t="s">
        <v>885</v>
      </c>
      <c r="E514" s="652"/>
      <c r="F514" s="710" t="s">
        <v>886</v>
      </c>
      <c r="G514" s="646"/>
    </row>
    <row r="515" spans="2:7" x14ac:dyDescent="0.2">
      <c r="B515" s="658" t="s">
        <v>887</v>
      </c>
      <c r="C515" s="652"/>
      <c r="D515" s="712" t="s">
        <v>2312</v>
      </c>
      <c r="E515" s="652"/>
      <c r="F515" s="658" t="s">
        <v>888</v>
      </c>
      <c r="G515" s="646"/>
    </row>
    <row r="516" spans="2:7" x14ac:dyDescent="0.2">
      <c r="B516" s="657" t="s">
        <v>889</v>
      </c>
      <c r="C516" s="652"/>
      <c r="D516" s="710" t="s">
        <v>2313</v>
      </c>
      <c r="E516" s="652"/>
      <c r="F516" s="657" t="s">
        <v>890</v>
      </c>
      <c r="G516" s="646"/>
    </row>
    <row r="517" spans="2:7" x14ac:dyDescent="0.2">
      <c r="B517" s="712" t="s">
        <v>891</v>
      </c>
      <c r="C517" s="652"/>
      <c r="D517" s="712" t="s">
        <v>892</v>
      </c>
      <c r="E517" s="652"/>
      <c r="F517" s="712" t="s">
        <v>2314</v>
      </c>
      <c r="G517" s="646"/>
    </row>
    <row r="518" spans="2:7" x14ac:dyDescent="0.2">
      <c r="B518" s="710" t="s">
        <v>2315</v>
      </c>
      <c r="C518" s="652"/>
      <c r="D518" s="710" t="s">
        <v>893</v>
      </c>
      <c r="E518" s="652"/>
      <c r="F518" s="710" t="s">
        <v>894</v>
      </c>
      <c r="G518" s="646"/>
    </row>
    <row r="519" spans="2:7" x14ac:dyDescent="0.2">
      <c r="B519" s="712" t="s">
        <v>895</v>
      </c>
      <c r="C519" s="652"/>
      <c r="D519" s="664" t="s">
        <v>896</v>
      </c>
      <c r="E519" s="652"/>
      <c r="F519" s="712" t="s">
        <v>897</v>
      </c>
      <c r="G519" s="646"/>
    </row>
    <row r="520" spans="2:7" x14ac:dyDescent="0.2">
      <c r="B520" s="710" t="s">
        <v>2316</v>
      </c>
      <c r="C520" s="652"/>
      <c r="D520" s="657" t="s">
        <v>898</v>
      </c>
      <c r="E520" s="652"/>
      <c r="F520" s="657" t="s">
        <v>899</v>
      </c>
      <c r="G520" s="646"/>
    </row>
    <row r="521" spans="2:7" x14ac:dyDescent="0.2">
      <c r="B521" s="664" t="s">
        <v>900</v>
      </c>
      <c r="C521" s="652"/>
      <c r="D521" s="658" t="s">
        <v>901</v>
      </c>
      <c r="E521" s="652"/>
      <c r="F521" s="712" t="s">
        <v>902</v>
      </c>
      <c r="G521" s="646"/>
    </row>
    <row r="522" spans="2:7" x14ac:dyDescent="0.2">
      <c r="B522" s="662" t="s">
        <v>903</v>
      </c>
      <c r="C522" s="652"/>
      <c r="D522" s="710" t="s">
        <v>904</v>
      </c>
      <c r="E522" s="652"/>
      <c r="F522" s="692"/>
      <c r="G522" s="646"/>
    </row>
    <row r="523" spans="2:7" x14ac:dyDescent="0.2">
      <c r="B523" s="652"/>
      <c r="C523" s="652"/>
      <c r="D523" s="712" t="s">
        <v>905</v>
      </c>
      <c r="E523" s="652"/>
      <c r="F523" s="652"/>
      <c r="G523" s="646"/>
    </row>
    <row r="524" spans="2:7" x14ac:dyDescent="0.2">
      <c r="B524" s="652"/>
      <c r="C524" s="652"/>
      <c r="D524" s="710" t="s">
        <v>906</v>
      </c>
      <c r="E524" s="652"/>
      <c r="F524" s="652"/>
      <c r="G524" s="646"/>
    </row>
    <row r="525" spans="2:7" x14ac:dyDescent="0.2">
      <c r="B525" s="652"/>
      <c r="C525" s="652"/>
      <c r="D525" s="712" t="s">
        <v>907</v>
      </c>
      <c r="E525" s="652"/>
      <c r="F525" s="652"/>
      <c r="G525" s="646"/>
    </row>
    <row r="526" spans="2:7" x14ac:dyDescent="0.2">
      <c r="B526" s="652"/>
      <c r="C526" s="652"/>
      <c r="D526" s="713" t="s">
        <v>908</v>
      </c>
      <c r="E526" s="652"/>
      <c r="F526" s="652"/>
      <c r="G526" s="646"/>
    </row>
    <row r="527" spans="2:7" x14ac:dyDescent="0.2">
      <c r="B527" s="652"/>
      <c r="C527" s="652"/>
      <c r="D527" s="716"/>
      <c r="E527" s="652"/>
      <c r="F527" s="652"/>
      <c r="G527" s="646"/>
    </row>
    <row r="528" spans="2:7" x14ac:dyDescent="0.2">
      <c r="B528" s="705" t="s">
        <v>2329</v>
      </c>
      <c r="C528" s="677"/>
      <c r="D528" s="705" t="s">
        <v>2330</v>
      </c>
      <c r="E528" s="677"/>
      <c r="F528" s="705" t="s">
        <v>2331</v>
      </c>
      <c r="G528" s="679"/>
    </row>
    <row r="529" spans="2:10" x14ac:dyDescent="0.2">
      <c r="B529" s="705" t="s">
        <v>2235</v>
      </c>
      <c r="C529" s="646"/>
      <c r="D529" s="705" t="s">
        <v>2235</v>
      </c>
      <c r="E529" s="646"/>
      <c r="F529" s="705" t="s">
        <v>2234</v>
      </c>
      <c r="G529" s="646"/>
    </row>
    <row r="530" spans="2:10" x14ac:dyDescent="0.2">
      <c r="B530" s="715" t="s">
        <v>2243</v>
      </c>
      <c r="C530" s="652"/>
      <c r="D530" s="715" t="s">
        <v>2242</v>
      </c>
      <c r="E530" s="652"/>
      <c r="F530" s="709" t="s">
        <v>909</v>
      </c>
      <c r="G530" s="646"/>
    </row>
    <row r="531" spans="2:10" x14ac:dyDescent="0.2">
      <c r="B531" s="717" t="s">
        <v>910</v>
      </c>
      <c r="C531" s="652"/>
      <c r="D531" s="657" t="s">
        <v>911</v>
      </c>
      <c r="E531" s="652"/>
      <c r="F531" s="710" t="s">
        <v>912</v>
      </c>
      <c r="G531" s="646"/>
    </row>
    <row r="532" spans="2:10" x14ac:dyDescent="0.2">
      <c r="B532" s="712" t="s">
        <v>2244</v>
      </c>
      <c r="C532" s="652"/>
      <c r="D532" s="712" t="s">
        <v>913</v>
      </c>
      <c r="E532" s="652"/>
      <c r="F532" s="658" t="s">
        <v>914</v>
      </c>
      <c r="G532" s="646"/>
    </row>
    <row r="533" spans="2:10" x14ac:dyDescent="0.2">
      <c r="B533" s="657" t="s">
        <v>915</v>
      </c>
      <c r="C533" s="652"/>
      <c r="D533" s="657" t="s">
        <v>916</v>
      </c>
      <c r="E533" s="652"/>
      <c r="F533" s="710" t="s">
        <v>917</v>
      </c>
      <c r="G533" s="646"/>
    </row>
    <row r="534" spans="2:10" x14ac:dyDescent="0.2">
      <c r="B534" s="658" t="s">
        <v>918</v>
      </c>
      <c r="C534" s="652"/>
      <c r="D534" s="712" t="s">
        <v>919</v>
      </c>
      <c r="E534" s="652"/>
      <c r="F534" s="658" t="s">
        <v>920</v>
      </c>
      <c r="G534" s="646"/>
    </row>
    <row r="535" spans="2:10" x14ac:dyDescent="0.2">
      <c r="B535" s="710" t="s">
        <v>2245</v>
      </c>
      <c r="C535" s="652"/>
      <c r="D535" s="710" t="s">
        <v>921</v>
      </c>
      <c r="E535" s="652"/>
      <c r="F535" s="657" t="s">
        <v>922</v>
      </c>
      <c r="G535" s="646"/>
    </row>
    <row r="536" spans="2:10" x14ac:dyDescent="0.2">
      <c r="B536" s="712" t="s">
        <v>923</v>
      </c>
      <c r="C536" s="652"/>
      <c r="D536" s="712" t="s">
        <v>924</v>
      </c>
      <c r="E536" s="652"/>
      <c r="F536" s="712" t="s">
        <v>2249</v>
      </c>
      <c r="G536" s="646"/>
    </row>
    <row r="537" spans="2:10" x14ac:dyDescent="0.2">
      <c r="B537" s="710" t="s">
        <v>925</v>
      </c>
      <c r="C537" s="652"/>
      <c r="D537" s="657" t="s">
        <v>926</v>
      </c>
      <c r="E537" s="652"/>
      <c r="F537" s="710" t="s">
        <v>927</v>
      </c>
      <c r="G537" s="646"/>
    </row>
    <row r="538" spans="2:10" x14ac:dyDescent="0.2">
      <c r="B538" s="658" t="s">
        <v>928</v>
      </c>
      <c r="C538" s="652"/>
      <c r="D538" s="712" t="s">
        <v>2247</v>
      </c>
      <c r="E538" s="652"/>
      <c r="F538" s="712" t="s">
        <v>929</v>
      </c>
      <c r="G538" s="646"/>
    </row>
    <row r="539" spans="2:10" x14ac:dyDescent="0.2">
      <c r="B539" s="657" t="s">
        <v>930</v>
      </c>
      <c r="C539" s="652"/>
      <c r="D539" s="710" t="s">
        <v>931</v>
      </c>
      <c r="E539" s="652"/>
      <c r="F539" s="710" t="s">
        <v>2248</v>
      </c>
      <c r="G539" s="646"/>
    </row>
    <row r="540" spans="2:10" x14ac:dyDescent="0.2">
      <c r="B540" s="718" t="s">
        <v>2246</v>
      </c>
      <c r="C540" s="652"/>
      <c r="D540" s="665" t="s">
        <v>932</v>
      </c>
      <c r="E540" s="652"/>
      <c r="F540" s="683"/>
      <c r="G540" s="646"/>
    </row>
    <row r="541" spans="2:10" x14ac:dyDescent="0.2">
      <c r="B541" s="646"/>
      <c r="C541" s="646"/>
      <c r="D541" s="646"/>
      <c r="E541" s="646"/>
      <c r="F541" s="646"/>
      <c r="G541" s="646"/>
    </row>
    <row r="542" spans="2:10" x14ac:dyDescent="0.2">
      <c r="B542" s="646"/>
      <c r="C542" s="686"/>
      <c r="D542" s="646"/>
      <c r="E542" s="686"/>
      <c r="F542" s="646"/>
      <c r="G542" s="686"/>
    </row>
    <row r="543" spans="2:10" ht="15" x14ac:dyDescent="0.2">
      <c r="B543" s="686"/>
      <c r="C543" s="694"/>
      <c r="D543" s="648" t="s">
        <v>933</v>
      </c>
      <c r="E543" s="694"/>
      <c r="F543" s="686"/>
      <c r="G543" s="686"/>
    </row>
    <row r="544" spans="2:10" ht="15" x14ac:dyDescent="0.2">
      <c r="B544" s="686"/>
      <c r="C544" s="695"/>
      <c r="D544" s="650" t="str">
        <f>COUNTA(B548:F554)+COUNTA(B559:F564)+COUNTA(B569:F573)&amp;" Total Castings"</f>
        <v>51 Total Castings</v>
      </c>
      <c r="E544" s="695"/>
      <c r="F544" s="686"/>
      <c r="G544" s="686"/>
      <c r="J544" s="645">
        <v>51</v>
      </c>
    </row>
    <row r="545" spans="2:7" x14ac:dyDescent="0.2">
      <c r="B545" s="686"/>
      <c r="C545" s="677"/>
      <c r="D545" s="686"/>
      <c r="E545" s="677"/>
      <c r="F545" s="686"/>
      <c r="G545" s="677"/>
    </row>
    <row r="546" spans="2:7" x14ac:dyDescent="0.2">
      <c r="B546" s="705" t="s">
        <v>2323</v>
      </c>
      <c r="C546" s="677"/>
      <c r="D546" s="705" t="s">
        <v>2324</v>
      </c>
      <c r="E546" s="677"/>
      <c r="F546" s="705" t="s">
        <v>2325</v>
      </c>
      <c r="G546" s="679"/>
    </row>
    <row r="547" spans="2:7" x14ac:dyDescent="0.2">
      <c r="B547" s="705" t="s">
        <v>1251</v>
      </c>
      <c r="C547" s="646"/>
      <c r="D547" s="705" t="s">
        <v>1251</v>
      </c>
      <c r="E547" s="646"/>
      <c r="F547" s="705" t="s">
        <v>2233</v>
      </c>
      <c r="G547" s="646"/>
    </row>
    <row r="548" spans="2:7" x14ac:dyDescent="0.2">
      <c r="B548" s="656" t="s">
        <v>935</v>
      </c>
      <c r="C548" s="652"/>
      <c r="D548" s="656" t="s">
        <v>936</v>
      </c>
      <c r="E548" s="652"/>
      <c r="F548" s="656" t="s">
        <v>934</v>
      </c>
      <c r="G548" s="646"/>
    </row>
    <row r="549" spans="2:7" x14ac:dyDescent="0.2">
      <c r="B549" s="657" t="s">
        <v>938</v>
      </c>
      <c r="C549" s="652"/>
      <c r="D549" s="657" t="s">
        <v>939</v>
      </c>
      <c r="E549" s="652"/>
      <c r="F549" s="659" t="s">
        <v>937</v>
      </c>
      <c r="G549" s="646"/>
    </row>
    <row r="550" spans="2:7" x14ac:dyDescent="0.2">
      <c r="B550" s="658" t="s">
        <v>941</v>
      </c>
      <c r="C550" s="652"/>
      <c r="D550" s="658" t="s">
        <v>942</v>
      </c>
      <c r="E550" s="652"/>
      <c r="F550" s="658" t="s">
        <v>940</v>
      </c>
      <c r="G550" s="646"/>
    </row>
    <row r="551" spans="2:7" x14ac:dyDescent="0.2">
      <c r="B551" s="657" t="s">
        <v>944</v>
      </c>
      <c r="C551" s="652"/>
      <c r="D551" s="657" t="s">
        <v>945</v>
      </c>
      <c r="E551" s="652"/>
      <c r="F551" s="657" t="s">
        <v>943</v>
      </c>
      <c r="G551" s="646"/>
    </row>
    <row r="552" spans="2:7" x14ac:dyDescent="0.2">
      <c r="B552" s="658" t="s">
        <v>947</v>
      </c>
      <c r="C552" s="652"/>
      <c r="D552" s="658" t="s">
        <v>948</v>
      </c>
      <c r="E552" s="652"/>
      <c r="F552" s="658" t="s">
        <v>946</v>
      </c>
      <c r="G552" s="646"/>
    </row>
    <row r="553" spans="2:7" x14ac:dyDescent="0.2">
      <c r="B553" s="662" t="s">
        <v>949</v>
      </c>
      <c r="C553" s="652"/>
      <c r="D553" s="662" t="s">
        <v>950</v>
      </c>
      <c r="E553" s="652"/>
      <c r="F553" s="657" t="s">
        <v>2250</v>
      </c>
      <c r="G553" s="646"/>
    </row>
    <row r="554" spans="2:7" x14ac:dyDescent="0.2">
      <c r="B554" s="652"/>
      <c r="C554" s="652"/>
      <c r="D554" s="652"/>
      <c r="E554" s="652"/>
      <c r="F554" s="665" t="s">
        <v>2251</v>
      </c>
      <c r="G554" s="646"/>
    </row>
    <row r="555" spans="2:7" x14ac:dyDescent="0.2">
      <c r="B555" s="652"/>
      <c r="C555" s="652"/>
      <c r="D555" s="652"/>
      <c r="E555" s="652"/>
      <c r="F555" s="652"/>
      <c r="G555" s="646"/>
    </row>
    <row r="556" spans="2:7" x14ac:dyDescent="0.2">
      <c r="B556" s="646"/>
      <c r="C556" s="677"/>
      <c r="D556" s="646"/>
      <c r="E556" s="677"/>
      <c r="F556" s="646"/>
      <c r="G556" s="677"/>
    </row>
    <row r="557" spans="2:7" x14ac:dyDescent="0.2">
      <c r="B557" s="705" t="s">
        <v>2326</v>
      </c>
      <c r="C557" s="677"/>
      <c r="D557" s="705" t="s">
        <v>2327</v>
      </c>
      <c r="E557" s="677"/>
      <c r="F557" s="705" t="s">
        <v>2328</v>
      </c>
      <c r="G557" s="679"/>
    </row>
    <row r="558" spans="2:7" x14ac:dyDescent="0.2">
      <c r="B558" s="705" t="s">
        <v>1251</v>
      </c>
      <c r="C558" s="646"/>
      <c r="D558" s="705" t="s">
        <v>1251</v>
      </c>
      <c r="E558" s="646"/>
      <c r="F558" s="705" t="s">
        <v>1251</v>
      </c>
      <c r="G558" s="646"/>
    </row>
    <row r="559" spans="2:7" x14ac:dyDescent="0.2">
      <c r="B559" s="656" t="s">
        <v>951</v>
      </c>
      <c r="C559" s="652"/>
      <c r="D559" s="656" t="s">
        <v>952</v>
      </c>
      <c r="E559" s="652"/>
      <c r="F559" s="656" t="s">
        <v>953</v>
      </c>
      <c r="G559" s="646"/>
    </row>
    <row r="560" spans="2:7" x14ac:dyDescent="0.2">
      <c r="B560" s="657" t="s">
        <v>954</v>
      </c>
      <c r="C560" s="652"/>
      <c r="D560" s="657" t="s">
        <v>955</v>
      </c>
      <c r="E560" s="652"/>
      <c r="F560" s="657" t="s">
        <v>956</v>
      </c>
      <c r="G560" s="646"/>
    </row>
    <row r="561" spans="2:7" x14ac:dyDescent="0.2">
      <c r="B561" s="658" t="s">
        <v>957</v>
      </c>
      <c r="C561" s="652"/>
      <c r="D561" s="658" t="s">
        <v>958</v>
      </c>
      <c r="E561" s="652"/>
      <c r="F561" s="658" t="s">
        <v>959</v>
      </c>
      <c r="G561" s="646"/>
    </row>
    <row r="562" spans="2:7" x14ac:dyDescent="0.2">
      <c r="B562" s="657" t="s">
        <v>960</v>
      </c>
      <c r="C562" s="652"/>
      <c r="D562" s="657" t="s">
        <v>961</v>
      </c>
      <c r="E562" s="652"/>
      <c r="F562" s="657" t="s">
        <v>962</v>
      </c>
      <c r="G562" s="646"/>
    </row>
    <row r="563" spans="2:7" x14ac:dyDescent="0.2">
      <c r="B563" s="658" t="s">
        <v>963</v>
      </c>
      <c r="C563" s="652"/>
      <c r="D563" s="658" t="s">
        <v>964</v>
      </c>
      <c r="E563" s="652"/>
      <c r="F563" s="658" t="s">
        <v>965</v>
      </c>
      <c r="G563" s="646"/>
    </row>
    <row r="564" spans="2:7" x14ac:dyDescent="0.2">
      <c r="B564" s="662" t="s">
        <v>966</v>
      </c>
      <c r="C564" s="652"/>
      <c r="D564" s="662" t="s">
        <v>967</v>
      </c>
      <c r="E564" s="652"/>
      <c r="F564" s="662" t="s">
        <v>968</v>
      </c>
      <c r="G564" s="646"/>
    </row>
    <row r="565" spans="2:7" x14ac:dyDescent="0.2">
      <c r="B565" s="646"/>
      <c r="C565" s="646"/>
      <c r="D565" s="646"/>
      <c r="E565" s="646"/>
      <c r="F565" s="646"/>
      <c r="G565" s="646"/>
    </row>
    <row r="566" spans="2:7" x14ac:dyDescent="0.2">
      <c r="B566" s="646"/>
      <c r="C566" s="677"/>
      <c r="D566" s="646"/>
      <c r="E566" s="677"/>
      <c r="F566" s="646"/>
      <c r="G566" s="677"/>
    </row>
    <row r="567" spans="2:7" x14ac:dyDescent="0.2">
      <c r="B567" s="705" t="s">
        <v>2329</v>
      </c>
      <c r="C567" s="677"/>
      <c r="D567" s="705" t="s">
        <v>2330</v>
      </c>
      <c r="E567" s="677"/>
      <c r="F567" s="705" t="s">
        <v>2331</v>
      </c>
      <c r="G567" s="679"/>
    </row>
    <row r="568" spans="2:7" x14ac:dyDescent="0.2">
      <c r="B568" s="705" t="s">
        <v>1288</v>
      </c>
      <c r="C568" s="646"/>
      <c r="D568" s="705" t="s">
        <v>1288</v>
      </c>
      <c r="E568" s="646"/>
      <c r="F568" s="705" t="s">
        <v>1316</v>
      </c>
      <c r="G568" s="646"/>
    </row>
    <row r="569" spans="2:7" x14ac:dyDescent="0.2">
      <c r="B569" s="656" t="s">
        <v>969</v>
      </c>
      <c r="C569" s="652"/>
      <c r="D569" s="656" t="s">
        <v>970</v>
      </c>
      <c r="E569" s="652"/>
      <c r="F569" s="656" t="s">
        <v>971</v>
      </c>
      <c r="G569" s="646"/>
    </row>
    <row r="570" spans="2:7" x14ac:dyDescent="0.2">
      <c r="B570" s="657" t="s">
        <v>972</v>
      </c>
      <c r="C570" s="652"/>
      <c r="D570" s="657" t="s">
        <v>973</v>
      </c>
      <c r="E570" s="652"/>
      <c r="F570" s="657" t="s">
        <v>974</v>
      </c>
      <c r="G570" s="646"/>
    </row>
    <row r="571" spans="2:7" x14ac:dyDescent="0.2">
      <c r="B571" s="658" t="s">
        <v>975</v>
      </c>
      <c r="C571" s="652"/>
      <c r="D571" s="658" t="s">
        <v>976</v>
      </c>
      <c r="E571" s="652"/>
      <c r="F571" s="658" t="s">
        <v>977</v>
      </c>
      <c r="G571" s="646"/>
    </row>
    <row r="572" spans="2:7" x14ac:dyDescent="0.2">
      <c r="B572" s="657" t="s">
        <v>978</v>
      </c>
      <c r="C572" s="652"/>
      <c r="D572" s="657" t="s">
        <v>979</v>
      </c>
      <c r="E572" s="652"/>
      <c r="F572" s="662" t="s">
        <v>980</v>
      </c>
      <c r="G572" s="646"/>
    </row>
    <row r="573" spans="2:7" x14ac:dyDescent="0.2">
      <c r="B573" s="665" t="s">
        <v>981</v>
      </c>
      <c r="C573" s="652"/>
      <c r="D573" s="665" t="s">
        <v>982</v>
      </c>
      <c r="E573" s="652"/>
      <c r="F573" s="652"/>
      <c r="G573" s="646"/>
    </row>
    <row r="574" spans="2:7" x14ac:dyDescent="0.2">
      <c r="B574" s="684"/>
      <c r="C574" s="652"/>
      <c r="D574" s="684"/>
      <c r="E574" s="652"/>
      <c r="F574" s="652"/>
      <c r="G574" s="646"/>
    </row>
    <row r="575" spans="2:7" x14ac:dyDescent="0.2">
      <c r="B575" s="646"/>
      <c r="C575" s="686"/>
      <c r="D575" s="646"/>
      <c r="E575" s="686"/>
      <c r="F575" s="646"/>
      <c r="G575" s="686"/>
    </row>
    <row r="576" spans="2:7" ht="15" x14ac:dyDescent="0.2">
      <c r="B576" s="686"/>
      <c r="C576" s="694"/>
      <c r="D576" s="648" t="s">
        <v>983</v>
      </c>
      <c r="E576" s="694"/>
      <c r="F576" s="686"/>
      <c r="G576" s="686"/>
    </row>
    <row r="577" spans="2:10" ht="15" x14ac:dyDescent="0.2">
      <c r="B577" s="686"/>
      <c r="C577" s="695"/>
      <c r="D577" s="650" t="str">
        <f>COUNTA(B581:F586)+COUNTA(B591:F596)+COUNTA(B601:F604)&amp;" Total Castings"</f>
        <v>45 Total Castings</v>
      </c>
      <c r="E577" s="695"/>
      <c r="F577" s="686"/>
      <c r="G577" s="686"/>
      <c r="J577" s="645">
        <v>45</v>
      </c>
    </row>
    <row r="578" spans="2:10" x14ac:dyDescent="0.2">
      <c r="B578" s="686"/>
      <c r="C578" s="677"/>
      <c r="D578" s="686"/>
      <c r="E578" s="677"/>
      <c r="F578" s="686"/>
      <c r="G578" s="677"/>
    </row>
    <row r="579" spans="2:10" x14ac:dyDescent="0.2">
      <c r="B579" s="705" t="s">
        <v>2323</v>
      </c>
      <c r="C579" s="677"/>
      <c r="D579" s="705" t="s">
        <v>2324</v>
      </c>
      <c r="E579" s="677"/>
      <c r="F579" s="705" t="s">
        <v>2325</v>
      </c>
      <c r="G579" s="679"/>
    </row>
    <row r="580" spans="2:10" x14ac:dyDescent="0.2">
      <c r="B580" s="705" t="s">
        <v>1251</v>
      </c>
      <c r="C580" s="646"/>
      <c r="D580" s="705" t="s">
        <v>1251</v>
      </c>
      <c r="E580" s="646"/>
      <c r="F580" s="705" t="s">
        <v>1251</v>
      </c>
      <c r="G580" s="646"/>
    </row>
    <row r="581" spans="2:10" x14ac:dyDescent="0.2">
      <c r="B581" s="656" t="s">
        <v>984</v>
      </c>
      <c r="C581" s="652"/>
      <c r="D581" s="656" t="s">
        <v>985</v>
      </c>
      <c r="E581" s="652"/>
      <c r="F581" s="656" t="s">
        <v>986</v>
      </c>
      <c r="G581" s="646"/>
    </row>
    <row r="582" spans="2:10" x14ac:dyDescent="0.2">
      <c r="B582" s="657" t="s">
        <v>987</v>
      </c>
      <c r="C582" s="652"/>
      <c r="D582" s="657" t="s">
        <v>988</v>
      </c>
      <c r="E582" s="652"/>
      <c r="F582" s="657" t="s">
        <v>989</v>
      </c>
      <c r="G582" s="646"/>
    </row>
    <row r="583" spans="2:10" x14ac:dyDescent="0.2">
      <c r="B583" s="658" t="s">
        <v>990</v>
      </c>
      <c r="C583" s="652"/>
      <c r="D583" s="658" t="s">
        <v>991</v>
      </c>
      <c r="E583" s="652"/>
      <c r="F583" s="658" t="s">
        <v>992</v>
      </c>
      <c r="G583" s="646"/>
    </row>
    <row r="584" spans="2:10" x14ac:dyDescent="0.2">
      <c r="B584" s="657" t="s">
        <v>993</v>
      </c>
      <c r="C584" s="652"/>
      <c r="D584" s="657" t="s">
        <v>994</v>
      </c>
      <c r="E584" s="652"/>
      <c r="F584" s="657" t="s">
        <v>995</v>
      </c>
      <c r="G584" s="646"/>
    </row>
    <row r="585" spans="2:10" x14ac:dyDescent="0.2">
      <c r="B585" s="658" t="s">
        <v>996</v>
      </c>
      <c r="C585" s="652"/>
      <c r="D585" s="658" t="s">
        <v>997</v>
      </c>
      <c r="E585" s="652"/>
      <c r="F585" s="658" t="s">
        <v>998</v>
      </c>
      <c r="G585" s="646"/>
    </row>
    <row r="586" spans="2:10" x14ac:dyDescent="0.2">
      <c r="B586" s="662" t="s">
        <v>999</v>
      </c>
      <c r="C586" s="652"/>
      <c r="D586" s="662" t="s">
        <v>1000</v>
      </c>
      <c r="E586" s="652"/>
      <c r="F586" s="662" t="s">
        <v>1001</v>
      </c>
      <c r="G586" s="646"/>
    </row>
    <row r="587" spans="2:10" x14ac:dyDescent="0.2">
      <c r="B587" s="646"/>
      <c r="C587" s="646"/>
      <c r="D587" s="646"/>
      <c r="E587" s="646"/>
      <c r="F587" s="646"/>
      <c r="G587" s="646"/>
    </row>
    <row r="588" spans="2:10" x14ac:dyDescent="0.2">
      <c r="B588" s="646"/>
      <c r="C588" s="677"/>
      <c r="D588" s="646"/>
      <c r="E588" s="677"/>
      <c r="F588" s="646"/>
      <c r="G588" s="677"/>
    </row>
    <row r="589" spans="2:10" x14ac:dyDescent="0.2">
      <c r="B589" s="705" t="s">
        <v>2326</v>
      </c>
      <c r="C589" s="677"/>
      <c r="D589" s="705" t="s">
        <v>2327</v>
      </c>
      <c r="E589" s="677"/>
      <c r="F589" s="705" t="s">
        <v>2328</v>
      </c>
      <c r="G589" s="679"/>
    </row>
    <row r="590" spans="2:10" x14ac:dyDescent="0.2">
      <c r="B590" s="705" t="s">
        <v>1251</v>
      </c>
      <c r="C590" s="679"/>
      <c r="D590" s="705" t="s">
        <v>1288</v>
      </c>
      <c r="E590" s="679"/>
      <c r="F590" s="705" t="s">
        <v>1288</v>
      </c>
      <c r="G590" s="679"/>
    </row>
    <row r="591" spans="2:10" x14ac:dyDescent="0.2">
      <c r="B591" s="656" t="s">
        <v>1002</v>
      </c>
      <c r="C591" s="652"/>
      <c r="D591" s="656" t="s">
        <v>1003</v>
      </c>
      <c r="E591" s="652"/>
      <c r="F591" s="656" t="s">
        <v>1004</v>
      </c>
      <c r="G591" s="646"/>
    </row>
    <row r="592" spans="2:10" x14ac:dyDescent="0.2">
      <c r="B592" s="657" t="s">
        <v>1005</v>
      </c>
      <c r="C592" s="652"/>
      <c r="D592" s="657" t="s">
        <v>1006</v>
      </c>
      <c r="E592" s="652"/>
      <c r="F592" s="657" t="s">
        <v>1007</v>
      </c>
      <c r="G592" s="646"/>
    </row>
    <row r="593" spans="2:10" x14ac:dyDescent="0.2">
      <c r="B593" s="658" t="s">
        <v>1008</v>
      </c>
      <c r="C593" s="652"/>
      <c r="D593" s="658" t="s">
        <v>1009</v>
      </c>
      <c r="E593" s="652"/>
      <c r="F593" s="658" t="s">
        <v>1010</v>
      </c>
      <c r="G593" s="646"/>
    </row>
    <row r="594" spans="2:10" x14ac:dyDescent="0.2">
      <c r="B594" s="657" t="s">
        <v>1011</v>
      </c>
      <c r="C594" s="652"/>
      <c r="D594" s="657" t="s">
        <v>1012</v>
      </c>
      <c r="E594" s="652"/>
      <c r="F594" s="657" t="s">
        <v>1013</v>
      </c>
      <c r="G594" s="646"/>
    </row>
    <row r="595" spans="2:10" x14ac:dyDescent="0.2">
      <c r="B595" s="658" t="s">
        <v>1014</v>
      </c>
      <c r="C595" s="652"/>
      <c r="D595" s="658" t="s">
        <v>1015</v>
      </c>
      <c r="E595" s="652"/>
      <c r="F595" s="658" t="s">
        <v>1016</v>
      </c>
      <c r="G595" s="646"/>
    </row>
    <row r="596" spans="2:10" x14ac:dyDescent="0.2">
      <c r="B596" s="662" t="s">
        <v>1017</v>
      </c>
      <c r="C596" s="652"/>
      <c r="D596" s="662"/>
      <c r="E596" s="652"/>
      <c r="F596" s="662"/>
      <c r="G596" s="646"/>
    </row>
    <row r="597" spans="2:10" x14ac:dyDescent="0.2">
      <c r="B597" s="646"/>
      <c r="C597" s="646"/>
      <c r="D597" s="646"/>
      <c r="E597" s="646"/>
      <c r="F597" s="646"/>
      <c r="G597" s="646"/>
    </row>
    <row r="598" spans="2:10" x14ac:dyDescent="0.2">
      <c r="B598" s="646"/>
      <c r="C598" s="677"/>
      <c r="D598" s="646"/>
      <c r="E598" s="677"/>
      <c r="F598" s="646"/>
      <c r="G598" s="677"/>
    </row>
    <row r="599" spans="2:10" x14ac:dyDescent="0.2">
      <c r="B599" s="705" t="s">
        <v>2329</v>
      </c>
      <c r="C599" s="677"/>
      <c r="D599" s="705" t="s">
        <v>2330</v>
      </c>
      <c r="E599" s="677"/>
      <c r="F599" s="705" t="s">
        <v>2331</v>
      </c>
      <c r="G599" s="679"/>
    </row>
    <row r="600" spans="2:10" x14ac:dyDescent="0.2">
      <c r="B600" s="705" t="s">
        <v>1316</v>
      </c>
      <c r="C600" s="646"/>
      <c r="D600" s="705" t="s">
        <v>2252</v>
      </c>
      <c r="E600" s="646"/>
      <c r="F600" s="705" t="s">
        <v>1316</v>
      </c>
      <c r="G600" s="646"/>
    </row>
    <row r="601" spans="2:10" x14ac:dyDescent="0.2">
      <c r="B601" s="656" t="s">
        <v>1018</v>
      </c>
      <c r="C601" s="652"/>
      <c r="D601" s="656" t="s">
        <v>1019</v>
      </c>
      <c r="E601" s="652"/>
      <c r="F601" s="656" t="s">
        <v>1020</v>
      </c>
      <c r="G601" s="646"/>
    </row>
    <row r="602" spans="2:10" x14ac:dyDescent="0.2">
      <c r="B602" s="657" t="s">
        <v>1021</v>
      </c>
      <c r="C602" s="652"/>
      <c r="D602" s="657" t="s">
        <v>1022</v>
      </c>
      <c r="E602" s="652"/>
      <c r="F602" s="657" t="s">
        <v>1023</v>
      </c>
      <c r="G602" s="646"/>
    </row>
    <row r="603" spans="2:10" x14ac:dyDescent="0.2">
      <c r="B603" s="658" t="s">
        <v>1024</v>
      </c>
      <c r="C603" s="652"/>
      <c r="D603" s="658" t="s">
        <v>1025</v>
      </c>
      <c r="E603" s="652"/>
      <c r="F603" s="661" t="s">
        <v>2295</v>
      </c>
      <c r="G603" s="646"/>
    </row>
    <row r="604" spans="2:10" x14ac:dyDescent="0.2">
      <c r="B604" s="662" t="s">
        <v>1027</v>
      </c>
      <c r="C604" s="652"/>
      <c r="D604" s="662"/>
      <c r="E604" s="652"/>
      <c r="F604" s="662" t="s">
        <v>1026</v>
      </c>
      <c r="G604" s="646"/>
    </row>
    <row r="605" spans="2:10" x14ac:dyDescent="0.2">
      <c r="B605" s="646"/>
      <c r="C605" s="646"/>
      <c r="D605" s="646"/>
      <c r="E605" s="646"/>
      <c r="F605" s="646"/>
      <c r="G605" s="646"/>
    </row>
    <row r="606" spans="2:10" x14ac:dyDescent="0.2">
      <c r="B606" s="646"/>
      <c r="C606" s="686"/>
      <c r="D606" s="646"/>
      <c r="E606" s="686"/>
      <c r="F606" s="646"/>
      <c r="G606" s="686"/>
    </row>
    <row r="607" spans="2:10" ht="15" x14ac:dyDescent="0.2">
      <c r="B607" s="686"/>
      <c r="C607" s="694"/>
      <c r="D607" s="648" t="s">
        <v>1028</v>
      </c>
      <c r="E607" s="694"/>
      <c r="F607" s="686"/>
      <c r="G607" s="686"/>
    </row>
    <row r="608" spans="2:10" ht="15" x14ac:dyDescent="0.2">
      <c r="B608" s="686"/>
      <c r="C608" s="695"/>
      <c r="D608" s="650" t="str">
        <f>COUNTA(B612:F621)+COUNTA(B626:F631)+COUNTA(B636:F641)&amp;" Total Castings"</f>
        <v>64 Total Castings</v>
      </c>
      <c r="E608" s="695"/>
      <c r="F608" s="686"/>
      <c r="G608" s="686"/>
      <c r="J608" s="645">
        <v>64</v>
      </c>
    </row>
    <row r="609" spans="2:7" x14ac:dyDescent="0.2">
      <c r="B609" s="686"/>
      <c r="C609" s="677"/>
      <c r="D609" s="686"/>
      <c r="E609" s="677"/>
      <c r="F609" s="686"/>
      <c r="G609" s="677"/>
    </row>
    <row r="610" spans="2:7" x14ac:dyDescent="0.2">
      <c r="B610" s="705" t="s">
        <v>2323</v>
      </c>
      <c r="C610" s="677"/>
      <c r="D610" s="705" t="s">
        <v>2324</v>
      </c>
      <c r="E610" s="677"/>
      <c r="F610" s="705" t="s">
        <v>2325</v>
      </c>
      <c r="G610" s="679"/>
    </row>
    <row r="611" spans="2:7" x14ac:dyDescent="0.2">
      <c r="B611" s="705" t="s">
        <v>2234</v>
      </c>
      <c r="C611" s="646"/>
      <c r="D611" s="705" t="s">
        <v>2234</v>
      </c>
      <c r="E611" s="646"/>
      <c r="F611" s="705" t="s">
        <v>1252</v>
      </c>
      <c r="G611" s="646"/>
    </row>
    <row r="612" spans="2:7" x14ac:dyDescent="0.2">
      <c r="B612" s="656" t="s">
        <v>1029</v>
      </c>
      <c r="C612" s="652"/>
      <c r="D612" s="656" t="s">
        <v>1030</v>
      </c>
      <c r="E612" s="652"/>
      <c r="F612" s="691" t="s">
        <v>2296</v>
      </c>
      <c r="G612" s="646"/>
    </row>
    <row r="613" spans="2:7" x14ac:dyDescent="0.2">
      <c r="B613" s="657" t="s">
        <v>1032</v>
      </c>
      <c r="C613" s="652"/>
      <c r="D613" s="657" t="s">
        <v>1033</v>
      </c>
      <c r="E613" s="652"/>
      <c r="F613" s="657" t="s">
        <v>1031</v>
      </c>
      <c r="G613" s="646"/>
    </row>
    <row r="614" spans="2:7" x14ac:dyDescent="0.2">
      <c r="B614" s="658" t="s">
        <v>1035</v>
      </c>
      <c r="C614" s="652"/>
      <c r="D614" s="658" t="s">
        <v>1036</v>
      </c>
      <c r="E614" s="652"/>
      <c r="F614" s="658" t="s">
        <v>1034</v>
      </c>
      <c r="G614" s="646"/>
    </row>
    <row r="615" spans="2:7" x14ac:dyDescent="0.2">
      <c r="B615" s="657" t="s">
        <v>1038</v>
      </c>
      <c r="C615" s="652"/>
      <c r="D615" s="657" t="s">
        <v>1039</v>
      </c>
      <c r="E615" s="652"/>
      <c r="F615" s="657" t="s">
        <v>1037</v>
      </c>
      <c r="G615" s="646"/>
    </row>
    <row r="616" spans="2:7" x14ac:dyDescent="0.2">
      <c r="B616" s="658" t="s">
        <v>1040</v>
      </c>
      <c r="C616" s="652"/>
      <c r="D616" s="658" t="s">
        <v>1041</v>
      </c>
      <c r="E616" s="652"/>
      <c r="F616" s="661" t="s">
        <v>1866</v>
      </c>
      <c r="G616" s="646"/>
    </row>
    <row r="617" spans="2:7" x14ac:dyDescent="0.2">
      <c r="B617" s="657" t="s">
        <v>1043</v>
      </c>
      <c r="C617" s="652"/>
      <c r="D617" s="657" t="s">
        <v>1044</v>
      </c>
      <c r="E617" s="652"/>
      <c r="F617" s="657" t="s">
        <v>1042</v>
      </c>
      <c r="G617" s="646"/>
    </row>
    <row r="618" spans="2:7" x14ac:dyDescent="0.2">
      <c r="B618" s="658" t="s">
        <v>1046</v>
      </c>
      <c r="C618" s="652"/>
      <c r="D618" s="658" t="s">
        <v>1047</v>
      </c>
      <c r="E618" s="652"/>
      <c r="F618" s="658" t="s">
        <v>1045</v>
      </c>
      <c r="G618" s="646"/>
    </row>
    <row r="619" spans="2:7" x14ac:dyDescent="0.2">
      <c r="B619" s="657" t="s">
        <v>1049</v>
      </c>
      <c r="C619" s="652"/>
      <c r="D619" s="657" t="s">
        <v>1050</v>
      </c>
      <c r="E619" s="652"/>
      <c r="F619" s="662" t="s">
        <v>1048</v>
      </c>
      <c r="G619" s="646"/>
    </row>
    <row r="620" spans="2:7" x14ac:dyDescent="0.2">
      <c r="B620" s="658" t="s">
        <v>1051</v>
      </c>
      <c r="C620" s="652"/>
      <c r="D620" s="658" t="s">
        <v>1052</v>
      </c>
      <c r="E620" s="652"/>
      <c r="F620" s="652"/>
      <c r="G620" s="646"/>
    </row>
    <row r="621" spans="2:7" x14ac:dyDescent="0.2">
      <c r="B621" s="662" t="s">
        <v>1053</v>
      </c>
      <c r="C621" s="652"/>
      <c r="D621" s="662" t="s">
        <v>1054</v>
      </c>
      <c r="E621" s="652"/>
      <c r="F621" s="652"/>
      <c r="G621" s="646"/>
    </row>
    <row r="622" spans="2:7" x14ac:dyDescent="0.2">
      <c r="B622" s="646"/>
      <c r="C622" s="646"/>
      <c r="D622" s="646"/>
      <c r="E622" s="646"/>
      <c r="F622" s="646"/>
      <c r="G622" s="646"/>
    </row>
    <row r="623" spans="2:7" x14ac:dyDescent="0.2">
      <c r="B623" s="646"/>
      <c r="C623" s="677"/>
      <c r="D623" s="646"/>
      <c r="E623" s="677"/>
      <c r="F623" s="646"/>
      <c r="G623" s="677"/>
    </row>
    <row r="624" spans="2:7" x14ac:dyDescent="0.2">
      <c r="B624" s="705" t="s">
        <v>2326</v>
      </c>
      <c r="C624" s="677"/>
      <c r="D624" s="705" t="s">
        <v>2327</v>
      </c>
      <c r="E624" s="677"/>
      <c r="F624" s="705" t="s">
        <v>2328</v>
      </c>
      <c r="G624" s="679"/>
    </row>
    <row r="625" spans="2:7" x14ac:dyDescent="0.2">
      <c r="B625" s="705" t="s">
        <v>1251</v>
      </c>
      <c r="C625" s="646"/>
      <c r="D625" s="705" t="s">
        <v>1251</v>
      </c>
      <c r="E625" s="646"/>
      <c r="F625" s="705" t="s">
        <v>1251</v>
      </c>
      <c r="G625" s="646"/>
    </row>
    <row r="626" spans="2:7" x14ac:dyDescent="0.2">
      <c r="B626" s="656" t="s">
        <v>1055</v>
      </c>
      <c r="C626" s="652"/>
      <c r="D626" s="656" t="s">
        <v>1056</v>
      </c>
      <c r="E626" s="652"/>
      <c r="F626" s="656" t="s">
        <v>1057</v>
      </c>
      <c r="G626" s="646"/>
    </row>
    <row r="627" spans="2:7" x14ac:dyDescent="0.2">
      <c r="B627" s="657" t="s">
        <v>1058</v>
      </c>
      <c r="C627" s="652"/>
      <c r="D627" s="657" t="s">
        <v>1059</v>
      </c>
      <c r="E627" s="652"/>
      <c r="F627" s="657" t="s">
        <v>1060</v>
      </c>
      <c r="G627" s="646"/>
    </row>
    <row r="628" spans="2:7" x14ac:dyDescent="0.2">
      <c r="B628" s="658" t="s">
        <v>1061</v>
      </c>
      <c r="C628" s="652"/>
      <c r="D628" s="658" t="s">
        <v>1062</v>
      </c>
      <c r="E628" s="652"/>
      <c r="F628" s="658" t="s">
        <v>1063</v>
      </c>
      <c r="G628" s="646"/>
    </row>
    <row r="629" spans="2:7" x14ac:dyDescent="0.2">
      <c r="B629" s="657" t="s">
        <v>2545</v>
      </c>
      <c r="C629" s="652"/>
      <c r="D629" s="657" t="s">
        <v>1064</v>
      </c>
      <c r="E629" s="652"/>
      <c r="F629" s="657" t="s">
        <v>1065</v>
      </c>
      <c r="G629" s="646"/>
    </row>
    <row r="630" spans="2:7" x14ac:dyDescent="0.2">
      <c r="B630" s="658" t="s">
        <v>1066</v>
      </c>
      <c r="C630" s="652"/>
      <c r="D630" s="658" t="s">
        <v>1067</v>
      </c>
      <c r="E630" s="652"/>
      <c r="F630" s="658" t="s">
        <v>1068</v>
      </c>
      <c r="G630" s="646"/>
    </row>
    <row r="631" spans="2:7" x14ac:dyDescent="0.2">
      <c r="B631" s="662" t="s">
        <v>1069</v>
      </c>
      <c r="C631" s="652"/>
      <c r="D631" s="662" t="s">
        <v>1070</v>
      </c>
      <c r="E631" s="652"/>
      <c r="F631" s="662" t="s">
        <v>1071</v>
      </c>
      <c r="G631" s="646"/>
    </row>
    <row r="632" spans="2:7" x14ac:dyDescent="0.2">
      <c r="B632" s="646"/>
      <c r="C632" s="646"/>
      <c r="D632" s="646"/>
      <c r="E632" s="646"/>
      <c r="F632" s="646"/>
      <c r="G632" s="646"/>
    </row>
    <row r="633" spans="2:7" x14ac:dyDescent="0.2">
      <c r="B633" s="646"/>
      <c r="C633" s="677"/>
      <c r="D633" s="646"/>
      <c r="E633" s="677"/>
      <c r="F633" s="646"/>
      <c r="G633" s="677"/>
    </row>
    <row r="634" spans="2:7" x14ac:dyDescent="0.2">
      <c r="B634" s="705" t="s">
        <v>2329</v>
      </c>
      <c r="C634" s="677"/>
      <c r="D634" s="705" t="s">
        <v>2330</v>
      </c>
      <c r="E634" s="677"/>
      <c r="F634" s="705" t="s">
        <v>2331</v>
      </c>
      <c r="G634" s="679"/>
    </row>
    <row r="635" spans="2:7" x14ac:dyDescent="0.2">
      <c r="B635" s="705" t="s">
        <v>1251</v>
      </c>
      <c r="C635" s="646"/>
      <c r="D635" s="705" t="s">
        <v>1251</v>
      </c>
      <c r="E635" s="646"/>
      <c r="F635" s="705" t="s">
        <v>1251</v>
      </c>
      <c r="G635" s="646"/>
    </row>
    <row r="636" spans="2:7" x14ac:dyDescent="0.2">
      <c r="B636" s="656" t="s">
        <v>1072</v>
      </c>
      <c r="C636" s="652"/>
      <c r="D636" s="656" t="s">
        <v>1073</v>
      </c>
      <c r="E636" s="652"/>
      <c r="F636" s="656" t="s">
        <v>1074</v>
      </c>
      <c r="G636" s="646"/>
    </row>
    <row r="637" spans="2:7" x14ac:dyDescent="0.2">
      <c r="B637" s="657" t="s">
        <v>1075</v>
      </c>
      <c r="C637" s="652"/>
      <c r="D637" s="657" t="s">
        <v>1076</v>
      </c>
      <c r="E637" s="652"/>
      <c r="F637" s="657" t="s">
        <v>1077</v>
      </c>
      <c r="G637" s="646"/>
    </row>
    <row r="638" spans="2:7" x14ac:dyDescent="0.2">
      <c r="B638" s="658" t="s">
        <v>1078</v>
      </c>
      <c r="C638" s="652"/>
      <c r="D638" s="658" t="s">
        <v>1079</v>
      </c>
      <c r="E638" s="652"/>
      <c r="F638" s="658" t="s">
        <v>1080</v>
      </c>
      <c r="G638" s="646"/>
    </row>
    <row r="639" spans="2:7" x14ac:dyDescent="0.2">
      <c r="B639" s="657" t="s">
        <v>1081</v>
      </c>
      <c r="C639" s="652"/>
      <c r="D639" s="657" t="s">
        <v>1082</v>
      </c>
      <c r="E639" s="652"/>
      <c r="F639" s="657" t="s">
        <v>1083</v>
      </c>
      <c r="G639" s="646"/>
    </row>
    <row r="640" spans="2:7" x14ac:dyDescent="0.2">
      <c r="B640" s="658" t="s">
        <v>1084</v>
      </c>
      <c r="C640" s="652"/>
      <c r="D640" s="658" t="s">
        <v>1085</v>
      </c>
      <c r="E640" s="652"/>
      <c r="F640" s="658" t="s">
        <v>1086</v>
      </c>
      <c r="G640" s="646"/>
    </row>
    <row r="641" spans="2:10" x14ac:dyDescent="0.2">
      <c r="B641" s="662" t="s">
        <v>1087</v>
      </c>
      <c r="C641" s="652"/>
      <c r="D641" s="662" t="s">
        <v>1088</v>
      </c>
      <c r="E641" s="652"/>
      <c r="F641" s="662" t="s">
        <v>1089</v>
      </c>
      <c r="G641" s="646"/>
    </row>
    <row r="642" spans="2:10" x14ac:dyDescent="0.2">
      <c r="B642" s="646"/>
      <c r="C642" s="646"/>
      <c r="D642" s="646"/>
      <c r="E642" s="646"/>
      <c r="F642" s="646"/>
      <c r="G642" s="646"/>
    </row>
    <row r="643" spans="2:10" x14ac:dyDescent="0.2">
      <c r="B643" s="646"/>
      <c r="C643" s="686"/>
      <c r="D643" s="646"/>
      <c r="E643" s="686"/>
      <c r="F643" s="646"/>
      <c r="G643" s="686"/>
    </row>
    <row r="644" spans="2:10" ht="15" x14ac:dyDescent="0.2">
      <c r="B644" s="686"/>
      <c r="C644" s="694"/>
      <c r="D644" s="648" t="s">
        <v>1090</v>
      </c>
      <c r="E644" s="694"/>
      <c r="F644" s="686"/>
      <c r="G644" s="686"/>
    </row>
    <row r="645" spans="2:10" ht="15" x14ac:dyDescent="0.2">
      <c r="B645" s="686"/>
      <c r="C645" s="695"/>
      <c r="D645" s="650" t="str">
        <f>COUNTA(B649:F654)+COUNTA(B659:F662)+COUNTA(B667:F668)&amp;" Total Castings"</f>
        <v>33 Total Castings</v>
      </c>
      <c r="E645" s="695"/>
      <c r="F645" s="686"/>
      <c r="G645" s="686"/>
      <c r="J645" s="645">
        <v>33</v>
      </c>
    </row>
    <row r="646" spans="2:10" x14ac:dyDescent="0.2">
      <c r="B646" s="686"/>
      <c r="C646" s="677"/>
      <c r="D646" s="686"/>
      <c r="E646" s="677"/>
      <c r="F646" s="686"/>
      <c r="G646" s="677"/>
    </row>
    <row r="647" spans="2:10" x14ac:dyDescent="0.2">
      <c r="B647" s="705" t="s">
        <v>2323</v>
      </c>
      <c r="C647" s="677"/>
      <c r="D647" s="705" t="s">
        <v>2324</v>
      </c>
      <c r="E647" s="677"/>
      <c r="F647" s="705" t="s">
        <v>2325</v>
      </c>
      <c r="G647" s="679"/>
    </row>
    <row r="648" spans="2:10" x14ac:dyDescent="0.2">
      <c r="B648" s="705" t="s">
        <v>1251</v>
      </c>
      <c r="C648" s="646"/>
      <c r="D648" s="705" t="s">
        <v>1251</v>
      </c>
      <c r="E648" s="646"/>
      <c r="F648" s="705" t="s">
        <v>1288</v>
      </c>
      <c r="G648" s="646"/>
    </row>
    <row r="649" spans="2:10" x14ac:dyDescent="0.2">
      <c r="B649" s="656" t="s">
        <v>1091</v>
      </c>
      <c r="C649" s="652"/>
      <c r="D649" s="656" t="s">
        <v>1092</v>
      </c>
      <c r="E649" s="652"/>
      <c r="F649" s="656" t="s">
        <v>1093</v>
      </c>
      <c r="G649" s="646"/>
    </row>
    <row r="650" spans="2:10" x14ac:dyDescent="0.2">
      <c r="B650" s="657" t="s">
        <v>1094</v>
      </c>
      <c r="C650" s="652"/>
      <c r="D650" s="657" t="s">
        <v>1095</v>
      </c>
      <c r="E650" s="652"/>
      <c r="F650" s="657" t="s">
        <v>1096</v>
      </c>
      <c r="G650" s="646"/>
    </row>
    <row r="651" spans="2:10" x14ac:dyDescent="0.2">
      <c r="B651" s="658" t="s">
        <v>1097</v>
      </c>
      <c r="C651" s="652"/>
      <c r="D651" s="658" t="s">
        <v>1098</v>
      </c>
      <c r="E651" s="652"/>
      <c r="F651" s="658" t="s">
        <v>1099</v>
      </c>
      <c r="G651" s="646"/>
    </row>
    <row r="652" spans="2:10" x14ac:dyDescent="0.2">
      <c r="B652" s="657" t="s">
        <v>164</v>
      </c>
      <c r="C652" s="652"/>
      <c r="D652" s="657" t="s">
        <v>1100</v>
      </c>
      <c r="E652" s="652"/>
      <c r="F652" s="657" t="s">
        <v>1101</v>
      </c>
      <c r="G652" s="646"/>
    </row>
    <row r="653" spans="2:10" x14ac:dyDescent="0.2">
      <c r="B653" s="658" t="s">
        <v>1102</v>
      </c>
      <c r="C653" s="652"/>
      <c r="D653" s="658" t="s">
        <v>1103</v>
      </c>
      <c r="E653" s="652"/>
      <c r="F653" s="658" t="s">
        <v>1104</v>
      </c>
      <c r="G653" s="646"/>
    </row>
    <row r="654" spans="2:10" x14ac:dyDescent="0.2">
      <c r="B654" s="662" t="s">
        <v>1105</v>
      </c>
      <c r="C654" s="652"/>
      <c r="D654" s="662" t="s">
        <v>1106</v>
      </c>
      <c r="E654" s="652"/>
      <c r="F654" s="662"/>
      <c r="G654" s="646"/>
    </row>
    <row r="655" spans="2:10" x14ac:dyDescent="0.2">
      <c r="B655" s="652"/>
      <c r="C655" s="652"/>
      <c r="D655" s="652"/>
      <c r="E655" s="652"/>
      <c r="F655" s="652"/>
      <c r="G655" s="646"/>
    </row>
    <row r="656" spans="2:10" x14ac:dyDescent="0.2">
      <c r="B656" s="646"/>
      <c r="C656" s="677"/>
      <c r="D656" s="646"/>
      <c r="E656" s="677"/>
      <c r="F656" s="646"/>
      <c r="G656" s="677"/>
    </row>
    <row r="657" spans="2:10" x14ac:dyDescent="0.2">
      <c r="B657" s="705" t="s">
        <v>2326</v>
      </c>
      <c r="C657" s="677"/>
      <c r="D657" s="705" t="s">
        <v>2327</v>
      </c>
      <c r="E657" s="677"/>
      <c r="F657" s="705" t="s">
        <v>2328</v>
      </c>
      <c r="G657" s="679"/>
    </row>
    <row r="658" spans="2:10" x14ac:dyDescent="0.2">
      <c r="B658" s="705" t="s">
        <v>1316</v>
      </c>
      <c r="C658" s="646"/>
      <c r="D658" s="705" t="s">
        <v>2252</v>
      </c>
      <c r="E658" s="646"/>
      <c r="F658" s="705" t="s">
        <v>2252</v>
      </c>
      <c r="G658" s="646"/>
    </row>
    <row r="659" spans="2:10" x14ac:dyDescent="0.2">
      <c r="B659" s="656" t="s">
        <v>1107</v>
      </c>
      <c r="C659" s="652"/>
      <c r="D659" s="656" t="s">
        <v>1108</v>
      </c>
      <c r="E659" s="652"/>
      <c r="F659" s="656" t="s">
        <v>1109</v>
      </c>
      <c r="G659" s="646"/>
    </row>
    <row r="660" spans="2:10" x14ac:dyDescent="0.2">
      <c r="B660" s="657" t="s">
        <v>1110</v>
      </c>
      <c r="C660" s="652"/>
      <c r="D660" s="657" t="s">
        <v>1111</v>
      </c>
      <c r="E660" s="652"/>
      <c r="F660" s="657" t="s">
        <v>1112</v>
      </c>
      <c r="G660" s="646"/>
    </row>
    <row r="661" spans="2:10" x14ac:dyDescent="0.2">
      <c r="B661" s="658" t="s">
        <v>1113</v>
      </c>
      <c r="C661" s="652"/>
      <c r="D661" s="658" t="s">
        <v>1114</v>
      </c>
      <c r="E661" s="652"/>
      <c r="F661" s="658" t="s">
        <v>1115</v>
      </c>
      <c r="G661" s="646"/>
    </row>
    <row r="662" spans="2:10" x14ac:dyDescent="0.2">
      <c r="B662" s="662" t="s">
        <v>1116</v>
      </c>
      <c r="C662" s="652"/>
      <c r="D662" s="662"/>
      <c r="E662" s="652"/>
      <c r="F662" s="662"/>
      <c r="G662" s="646"/>
    </row>
    <row r="663" spans="2:10" x14ac:dyDescent="0.2">
      <c r="B663" s="646"/>
      <c r="C663" s="646"/>
      <c r="D663" s="646"/>
      <c r="E663" s="646"/>
      <c r="F663" s="646"/>
      <c r="G663" s="646"/>
    </row>
    <row r="664" spans="2:10" x14ac:dyDescent="0.2">
      <c r="B664" s="646"/>
      <c r="C664" s="677"/>
      <c r="D664" s="646"/>
      <c r="E664" s="677"/>
      <c r="F664" s="646"/>
      <c r="G664" s="677"/>
    </row>
    <row r="665" spans="2:10" x14ac:dyDescent="0.2">
      <c r="B665" s="705" t="s">
        <v>2329</v>
      </c>
      <c r="C665" s="677"/>
      <c r="D665" s="705" t="s">
        <v>2330</v>
      </c>
      <c r="E665" s="677"/>
      <c r="F665" s="705" t="s">
        <v>2331</v>
      </c>
      <c r="G665" s="679"/>
    </row>
    <row r="666" spans="2:10" x14ac:dyDescent="0.2">
      <c r="B666" s="705" t="s">
        <v>1317</v>
      </c>
      <c r="C666" s="646"/>
      <c r="D666" s="705" t="s">
        <v>1317</v>
      </c>
      <c r="E666" s="646"/>
      <c r="F666" s="705" t="s">
        <v>1317</v>
      </c>
      <c r="G666" s="646"/>
    </row>
    <row r="667" spans="2:10" x14ac:dyDescent="0.2">
      <c r="B667" s="656" t="s">
        <v>1117</v>
      </c>
      <c r="C667" s="652"/>
      <c r="D667" s="656" t="s">
        <v>1118</v>
      </c>
      <c r="E667" s="652"/>
      <c r="F667" s="656" t="s">
        <v>1119</v>
      </c>
      <c r="G667" s="646"/>
    </row>
    <row r="668" spans="2:10" x14ac:dyDescent="0.2">
      <c r="B668" s="662" t="s">
        <v>1120</v>
      </c>
      <c r="C668" s="652"/>
      <c r="D668" s="662" t="s">
        <v>1121</v>
      </c>
      <c r="E668" s="652"/>
      <c r="F668" s="662" t="s">
        <v>1122</v>
      </c>
      <c r="G668" s="646"/>
    </row>
    <row r="669" spans="2:10" x14ac:dyDescent="0.2">
      <c r="B669" s="684"/>
      <c r="C669" s="652"/>
      <c r="D669" s="684"/>
      <c r="E669" s="652"/>
      <c r="F669" s="684"/>
      <c r="G669" s="646"/>
    </row>
    <row r="670" spans="2:10" x14ac:dyDescent="0.2">
      <c r="B670" s="646"/>
      <c r="C670" s="686"/>
      <c r="D670" s="646"/>
      <c r="E670" s="686"/>
      <c r="F670" s="646"/>
      <c r="G670" s="686"/>
    </row>
    <row r="671" spans="2:10" ht="15" x14ac:dyDescent="0.2">
      <c r="B671" s="686"/>
      <c r="C671" s="694"/>
      <c r="D671" s="648" t="s">
        <v>1123</v>
      </c>
      <c r="E671" s="694"/>
      <c r="F671" s="686"/>
      <c r="G671" s="686"/>
    </row>
    <row r="672" spans="2:10" ht="15" x14ac:dyDescent="0.2">
      <c r="B672" s="686"/>
      <c r="C672" s="695"/>
      <c r="D672" s="650" t="str">
        <f>COUNTA(B676:F681)+COUNTA(B686:F688)+COUNTA(B693:F695)&amp;" Total Castings"</f>
        <v>30 Total Castings</v>
      </c>
      <c r="E672" s="695"/>
      <c r="F672" s="686"/>
      <c r="G672" s="686"/>
      <c r="J672" s="645">
        <v>30</v>
      </c>
    </row>
    <row r="673" spans="2:7" x14ac:dyDescent="0.2">
      <c r="B673" s="686"/>
      <c r="C673" s="677"/>
      <c r="D673" s="686"/>
      <c r="E673" s="677"/>
      <c r="F673" s="686"/>
      <c r="G673" s="677"/>
    </row>
    <row r="674" spans="2:7" x14ac:dyDescent="0.2">
      <c r="B674" s="705" t="s">
        <v>2323</v>
      </c>
      <c r="C674" s="677"/>
      <c r="D674" s="705" t="s">
        <v>2324</v>
      </c>
      <c r="E674" s="677"/>
      <c r="F674" s="705" t="s">
        <v>2325</v>
      </c>
      <c r="G674" s="679"/>
    </row>
    <row r="675" spans="2:7" x14ac:dyDescent="0.2">
      <c r="B675" s="705" t="s">
        <v>1251</v>
      </c>
      <c r="C675" s="646"/>
      <c r="D675" s="705" t="s">
        <v>1316</v>
      </c>
      <c r="E675" s="646"/>
      <c r="F675" s="705" t="s">
        <v>2252</v>
      </c>
      <c r="G675" s="646"/>
    </row>
    <row r="676" spans="2:7" x14ac:dyDescent="0.2">
      <c r="B676" s="656" t="s">
        <v>1124</v>
      </c>
      <c r="C676" s="646"/>
      <c r="D676" s="656" t="s">
        <v>1125</v>
      </c>
      <c r="E676" s="646"/>
      <c r="F676" s="656" t="s">
        <v>1126</v>
      </c>
      <c r="G676" s="646"/>
    </row>
    <row r="677" spans="2:7" x14ac:dyDescent="0.2">
      <c r="B677" s="657" t="s">
        <v>1127</v>
      </c>
      <c r="C677" s="646"/>
      <c r="D677" s="657" t="s">
        <v>1128</v>
      </c>
      <c r="E677" s="646"/>
      <c r="F677" s="657" t="s">
        <v>1129</v>
      </c>
      <c r="G677" s="646"/>
    </row>
    <row r="678" spans="2:7" x14ac:dyDescent="0.2">
      <c r="B678" s="661" t="s">
        <v>1130</v>
      </c>
      <c r="C678" s="646"/>
      <c r="D678" s="658" t="s">
        <v>1131</v>
      </c>
      <c r="E678" s="646"/>
      <c r="F678" s="658" t="s">
        <v>1132</v>
      </c>
      <c r="G678" s="646"/>
    </row>
    <row r="679" spans="2:7" x14ac:dyDescent="0.2">
      <c r="B679" s="657" t="s">
        <v>1133</v>
      </c>
      <c r="C679" s="646"/>
      <c r="D679" s="662" t="s">
        <v>1134</v>
      </c>
      <c r="E679" s="646"/>
      <c r="F679" s="662"/>
      <c r="G679" s="646"/>
    </row>
    <row r="680" spans="2:7" x14ac:dyDescent="0.2">
      <c r="B680" s="661" t="s">
        <v>1135</v>
      </c>
      <c r="C680" s="646"/>
      <c r="D680" s="707"/>
      <c r="E680" s="646"/>
      <c r="F680" s="646"/>
      <c r="G680" s="646"/>
    </row>
    <row r="681" spans="2:7" x14ac:dyDescent="0.2">
      <c r="B681" s="662" t="s">
        <v>1136</v>
      </c>
      <c r="C681" s="646"/>
      <c r="D681" s="707"/>
      <c r="E681" s="646"/>
      <c r="F681" s="646"/>
      <c r="G681" s="646"/>
    </row>
    <row r="682" spans="2:7" x14ac:dyDescent="0.2">
      <c r="B682" s="646"/>
      <c r="C682" s="646"/>
      <c r="D682" s="646"/>
      <c r="E682" s="646"/>
      <c r="F682" s="646"/>
      <c r="G682" s="646"/>
    </row>
    <row r="683" spans="2:7" x14ac:dyDescent="0.2">
      <c r="B683" s="646"/>
      <c r="C683" s="677"/>
      <c r="D683" s="646"/>
      <c r="E683" s="677"/>
      <c r="F683" s="646"/>
      <c r="G683" s="677"/>
    </row>
    <row r="684" spans="2:7" x14ac:dyDescent="0.2">
      <c r="B684" s="705" t="s">
        <v>2326</v>
      </c>
      <c r="C684" s="677"/>
      <c r="D684" s="705" t="s">
        <v>2327</v>
      </c>
      <c r="E684" s="677"/>
      <c r="F684" s="705" t="s">
        <v>2328</v>
      </c>
      <c r="G684" s="679"/>
    </row>
    <row r="685" spans="2:7" x14ac:dyDescent="0.2">
      <c r="B685" s="705" t="s">
        <v>2252</v>
      </c>
      <c r="C685" s="646"/>
      <c r="D685" s="705" t="s">
        <v>2252</v>
      </c>
      <c r="E685" s="646"/>
      <c r="F685" s="705" t="s">
        <v>2252</v>
      </c>
      <c r="G685" s="646"/>
    </row>
    <row r="686" spans="2:7" x14ac:dyDescent="0.2">
      <c r="B686" s="656" t="s">
        <v>1137</v>
      </c>
      <c r="C686" s="646"/>
      <c r="D686" s="656" t="s">
        <v>1138</v>
      </c>
      <c r="E686" s="646"/>
      <c r="F686" s="656" t="s">
        <v>1139</v>
      </c>
      <c r="G686" s="646"/>
    </row>
    <row r="687" spans="2:7" x14ac:dyDescent="0.2">
      <c r="B687" s="657" t="s">
        <v>1140</v>
      </c>
      <c r="C687" s="646"/>
      <c r="D687" s="657" t="s">
        <v>1141</v>
      </c>
      <c r="E687" s="646"/>
      <c r="F687" s="657" t="s">
        <v>1142</v>
      </c>
      <c r="G687" s="646"/>
    </row>
    <row r="688" spans="2:7" x14ac:dyDescent="0.2">
      <c r="B688" s="665" t="s">
        <v>1143</v>
      </c>
      <c r="C688" s="646"/>
      <c r="D688" s="665" t="s">
        <v>1144</v>
      </c>
      <c r="E688" s="646"/>
      <c r="F688" s="665" t="s">
        <v>1145</v>
      </c>
      <c r="G688" s="646"/>
    </row>
    <row r="689" spans="2:10" x14ac:dyDescent="0.2">
      <c r="B689" s="646"/>
      <c r="C689" s="646"/>
      <c r="D689" s="646"/>
      <c r="E689" s="646"/>
      <c r="F689" s="646"/>
      <c r="G689" s="646"/>
    </row>
    <row r="690" spans="2:10" x14ac:dyDescent="0.2">
      <c r="B690" s="646"/>
      <c r="C690" s="677"/>
      <c r="D690" s="646"/>
      <c r="E690" s="677"/>
      <c r="F690" s="646"/>
      <c r="G690" s="677"/>
    </row>
    <row r="691" spans="2:10" x14ac:dyDescent="0.2">
      <c r="B691" s="705" t="s">
        <v>2329</v>
      </c>
      <c r="C691" s="677"/>
      <c r="D691" s="705" t="s">
        <v>2330</v>
      </c>
      <c r="E691" s="677"/>
      <c r="F691" s="705" t="s">
        <v>2331</v>
      </c>
      <c r="G691" s="679"/>
    </row>
    <row r="692" spans="2:10" x14ac:dyDescent="0.2">
      <c r="B692" s="705" t="s">
        <v>2252</v>
      </c>
      <c r="C692" s="646"/>
      <c r="D692" s="705" t="s">
        <v>2252</v>
      </c>
      <c r="E692" s="646"/>
      <c r="F692" s="705" t="s">
        <v>1317</v>
      </c>
      <c r="G692" s="646"/>
    </row>
    <row r="693" spans="2:10" x14ac:dyDescent="0.2">
      <c r="B693" s="656" t="s">
        <v>1146</v>
      </c>
      <c r="C693" s="646"/>
      <c r="D693" s="656" t="s">
        <v>1147</v>
      </c>
      <c r="E693" s="646"/>
      <c r="F693" s="656" t="s">
        <v>1148</v>
      </c>
      <c r="G693" s="646"/>
    </row>
    <row r="694" spans="2:10" x14ac:dyDescent="0.2">
      <c r="B694" s="657" t="s">
        <v>1149</v>
      </c>
      <c r="C694" s="646"/>
      <c r="D694" s="657" t="s">
        <v>1150</v>
      </c>
      <c r="E694" s="646"/>
      <c r="F694" s="657" t="s">
        <v>1151</v>
      </c>
      <c r="G694" s="646"/>
    </row>
    <row r="695" spans="2:10" x14ac:dyDescent="0.2">
      <c r="B695" s="665" t="s">
        <v>1152</v>
      </c>
      <c r="C695" s="646"/>
      <c r="D695" s="665" t="s">
        <v>1153</v>
      </c>
      <c r="E695" s="646"/>
      <c r="F695" s="665"/>
      <c r="G695" s="646"/>
    </row>
    <row r="696" spans="2:10" x14ac:dyDescent="0.2">
      <c r="B696" s="646"/>
      <c r="C696" s="646"/>
      <c r="D696" s="646"/>
      <c r="E696" s="646"/>
      <c r="F696" s="646"/>
      <c r="G696" s="646"/>
    </row>
    <row r="697" spans="2:10" x14ac:dyDescent="0.2">
      <c r="B697" s="646"/>
      <c r="C697" s="686"/>
      <c r="D697" s="646"/>
      <c r="E697" s="686"/>
      <c r="F697" s="646"/>
      <c r="G697" s="686"/>
    </row>
    <row r="698" spans="2:10" ht="15" x14ac:dyDescent="0.2">
      <c r="B698" s="686"/>
      <c r="C698" s="694"/>
      <c r="D698" s="648" t="s">
        <v>1154</v>
      </c>
      <c r="E698" s="694"/>
      <c r="F698" s="686"/>
      <c r="G698" s="686"/>
    </row>
    <row r="699" spans="2:10" ht="15" x14ac:dyDescent="0.2">
      <c r="B699" s="686"/>
      <c r="C699" s="695"/>
      <c r="D699" s="650" t="str">
        <f>COUNTA(B704:F708)+COUNTA(B713:F716)+COUNTA(B721:F722)&amp;" Total Castings"</f>
        <v>30 Total Castings</v>
      </c>
      <c r="E699" s="695"/>
      <c r="F699" s="686"/>
      <c r="G699" s="686"/>
      <c r="J699" s="645">
        <v>30</v>
      </c>
    </row>
    <row r="700" spans="2:10" x14ac:dyDescent="0.2">
      <c r="B700" s="686"/>
      <c r="C700" s="686"/>
      <c r="D700" s="686"/>
      <c r="E700" s="686"/>
      <c r="F700" s="686"/>
      <c r="G700" s="686"/>
    </row>
    <row r="701" spans="2:10" x14ac:dyDescent="0.2">
      <c r="B701" s="686"/>
      <c r="C701" s="677"/>
      <c r="D701" s="686"/>
      <c r="E701" s="677"/>
      <c r="F701" s="686"/>
      <c r="G701" s="677"/>
    </row>
    <row r="702" spans="2:10" x14ac:dyDescent="0.2">
      <c r="B702" s="705" t="s">
        <v>2323</v>
      </c>
      <c r="C702" s="677"/>
      <c r="D702" s="705" t="s">
        <v>2324</v>
      </c>
      <c r="E702" s="677"/>
      <c r="F702" s="705" t="s">
        <v>2325</v>
      </c>
      <c r="G702" s="679"/>
    </row>
    <row r="703" spans="2:10" x14ac:dyDescent="0.2">
      <c r="B703" s="705" t="s">
        <v>1288</v>
      </c>
      <c r="C703" s="646"/>
      <c r="D703" s="705" t="s">
        <v>1316</v>
      </c>
      <c r="E703" s="646"/>
      <c r="F703" s="705" t="s">
        <v>1316</v>
      </c>
      <c r="G703" s="646"/>
    </row>
    <row r="704" spans="2:10" x14ac:dyDescent="0.2">
      <c r="B704" s="656" t="s">
        <v>1155</v>
      </c>
      <c r="C704" s="646"/>
      <c r="D704" s="656" t="s">
        <v>1156</v>
      </c>
      <c r="E704" s="646"/>
      <c r="F704" s="656" t="s">
        <v>1157</v>
      </c>
      <c r="G704" s="646"/>
    </row>
    <row r="705" spans="2:7" x14ac:dyDescent="0.2">
      <c r="B705" s="657" t="s">
        <v>1158</v>
      </c>
      <c r="C705" s="646"/>
      <c r="D705" s="657" t="s">
        <v>1159</v>
      </c>
      <c r="E705" s="646"/>
      <c r="F705" s="657" t="s">
        <v>1160</v>
      </c>
      <c r="G705" s="646"/>
    </row>
    <row r="706" spans="2:7" x14ac:dyDescent="0.2">
      <c r="B706" s="658" t="s">
        <v>1161</v>
      </c>
      <c r="C706" s="646"/>
      <c r="D706" s="658" t="s">
        <v>1162</v>
      </c>
      <c r="E706" s="646"/>
      <c r="F706" s="658" t="s">
        <v>1163</v>
      </c>
      <c r="G706" s="646"/>
    </row>
    <row r="707" spans="2:7" x14ac:dyDescent="0.2">
      <c r="B707" s="657" t="s">
        <v>1164</v>
      </c>
      <c r="C707" s="646"/>
      <c r="D707" s="657" t="s">
        <v>1165</v>
      </c>
      <c r="E707" s="646"/>
      <c r="F707" s="657" t="s">
        <v>1166</v>
      </c>
      <c r="G707" s="646"/>
    </row>
    <row r="708" spans="2:7" x14ac:dyDescent="0.2">
      <c r="B708" s="665" t="s">
        <v>1167</v>
      </c>
      <c r="C708" s="646"/>
      <c r="D708" s="665"/>
      <c r="E708" s="646"/>
      <c r="F708" s="665"/>
      <c r="G708" s="646"/>
    </row>
    <row r="709" spans="2:7" x14ac:dyDescent="0.2">
      <c r="B709" s="646"/>
      <c r="C709" s="646"/>
      <c r="D709" s="646"/>
      <c r="E709" s="646"/>
      <c r="F709" s="646"/>
      <c r="G709" s="646"/>
    </row>
    <row r="710" spans="2:7" x14ac:dyDescent="0.2">
      <c r="B710" s="646"/>
      <c r="C710" s="677"/>
      <c r="D710" s="646"/>
      <c r="E710" s="677"/>
      <c r="F710" s="646"/>
      <c r="G710" s="677"/>
    </row>
    <row r="711" spans="2:7" x14ac:dyDescent="0.2">
      <c r="B711" s="705" t="s">
        <v>2326</v>
      </c>
      <c r="C711" s="677"/>
      <c r="D711" s="705" t="s">
        <v>2327</v>
      </c>
      <c r="E711" s="677"/>
      <c r="F711" s="705" t="s">
        <v>2328</v>
      </c>
      <c r="G711" s="679"/>
    </row>
    <row r="712" spans="2:7" x14ac:dyDescent="0.2">
      <c r="B712" s="705" t="s">
        <v>1316</v>
      </c>
      <c r="C712" s="646"/>
      <c r="D712" s="705" t="s">
        <v>1316</v>
      </c>
      <c r="E712" s="646"/>
      <c r="F712" s="705" t="s">
        <v>2252</v>
      </c>
      <c r="G712" s="646"/>
    </row>
    <row r="713" spans="2:7" x14ac:dyDescent="0.2">
      <c r="B713" s="656" t="s">
        <v>1168</v>
      </c>
      <c r="C713" s="646"/>
      <c r="D713" s="656" t="s">
        <v>1169</v>
      </c>
      <c r="E713" s="646"/>
      <c r="F713" s="656" t="s">
        <v>1170</v>
      </c>
      <c r="G713" s="646"/>
    </row>
    <row r="714" spans="2:7" x14ac:dyDescent="0.2">
      <c r="B714" s="657" t="s">
        <v>1171</v>
      </c>
      <c r="C714" s="646"/>
      <c r="D714" s="657" t="s">
        <v>1172</v>
      </c>
      <c r="E714" s="646"/>
      <c r="F714" s="657" t="s">
        <v>1173</v>
      </c>
      <c r="G714" s="646"/>
    </row>
    <row r="715" spans="2:7" x14ac:dyDescent="0.2">
      <c r="B715" s="658" t="s">
        <v>1174</v>
      </c>
      <c r="C715" s="646"/>
      <c r="D715" s="658" t="s">
        <v>1175</v>
      </c>
      <c r="E715" s="646"/>
      <c r="F715" s="658" t="s">
        <v>1176</v>
      </c>
      <c r="G715" s="646"/>
    </row>
    <row r="716" spans="2:7" x14ac:dyDescent="0.2">
      <c r="B716" s="662" t="s">
        <v>1177</v>
      </c>
      <c r="C716" s="646"/>
      <c r="D716" s="662" t="s">
        <v>1178</v>
      </c>
      <c r="E716" s="646"/>
      <c r="F716" s="662"/>
      <c r="G716" s="646"/>
    </row>
    <row r="717" spans="2:7" x14ac:dyDescent="0.2">
      <c r="B717" s="646"/>
      <c r="C717" s="646"/>
      <c r="D717" s="646"/>
      <c r="E717" s="646"/>
      <c r="F717" s="646"/>
      <c r="G717" s="646"/>
    </row>
    <row r="718" spans="2:7" x14ac:dyDescent="0.2">
      <c r="B718" s="646"/>
      <c r="C718" s="677"/>
      <c r="D718" s="646"/>
      <c r="E718" s="677"/>
      <c r="F718" s="646"/>
      <c r="G718" s="677"/>
    </row>
    <row r="719" spans="2:7" x14ac:dyDescent="0.2">
      <c r="B719" s="705" t="s">
        <v>2329</v>
      </c>
      <c r="C719" s="677"/>
      <c r="D719" s="705" t="s">
        <v>2330</v>
      </c>
      <c r="E719" s="677"/>
      <c r="F719" s="705" t="s">
        <v>2331</v>
      </c>
      <c r="G719" s="679"/>
    </row>
    <row r="720" spans="2:7" x14ac:dyDescent="0.2">
      <c r="B720" s="705" t="s">
        <v>1317</v>
      </c>
      <c r="C720" s="646"/>
      <c r="D720" s="705" t="s">
        <v>1317</v>
      </c>
      <c r="E720" s="646"/>
      <c r="F720" s="705" t="s">
        <v>1317</v>
      </c>
      <c r="G720" s="646"/>
    </row>
    <row r="721" spans="2:10" x14ac:dyDescent="0.2">
      <c r="B721" s="656" t="s">
        <v>1179</v>
      </c>
      <c r="C721" s="646"/>
      <c r="D721" s="656" t="s">
        <v>1180</v>
      </c>
      <c r="E721" s="646"/>
      <c r="F721" s="656" t="s">
        <v>1181</v>
      </c>
      <c r="G721" s="646"/>
    </row>
    <row r="722" spans="2:10" x14ac:dyDescent="0.2">
      <c r="B722" s="662" t="s">
        <v>1182</v>
      </c>
      <c r="C722" s="646"/>
      <c r="D722" s="662" t="s">
        <v>1183</v>
      </c>
      <c r="E722" s="646"/>
      <c r="F722" s="662" t="s">
        <v>1184</v>
      </c>
      <c r="G722" s="646"/>
    </row>
    <row r="724" spans="2:10" x14ac:dyDescent="0.2">
      <c r="B724" s="646"/>
      <c r="C724" s="686"/>
      <c r="D724" s="646"/>
      <c r="E724" s="686"/>
      <c r="F724" s="646"/>
      <c r="G724" s="686"/>
    </row>
    <row r="725" spans="2:10" ht="15" x14ac:dyDescent="0.2">
      <c r="B725" s="686"/>
      <c r="C725" s="694"/>
      <c r="D725" s="648" t="s">
        <v>1185</v>
      </c>
      <c r="E725" s="694"/>
      <c r="F725" s="686"/>
      <c r="G725" s="686"/>
    </row>
    <row r="726" spans="2:10" ht="15" x14ac:dyDescent="0.2">
      <c r="B726" s="686"/>
      <c r="C726" s="695"/>
      <c r="D726" s="650" t="str">
        <f>COUNTA(B731:F738)+COUNTA(B744:F752)+COUNTA(B758:F764)&amp;" Total Castings"</f>
        <v>62 Total Castings</v>
      </c>
      <c r="E726" s="695"/>
      <c r="F726" s="686"/>
      <c r="G726" s="686"/>
      <c r="J726" s="645">
        <v>62</v>
      </c>
    </row>
    <row r="727" spans="2:10" x14ac:dyDescent="0.2">
      <c r="B727" s="686"/>
      <c r="C727" s="686"/>
      <c r="D727" s="686"/>
      <c r="E727" s="686"/>
      <c r="F727" s="686"/>
      <c r="G727" s="686"/>
    </row>
    <row r="728" spans="2:10" x14ac:dyDescent="0.2">
      <c r="B728" s="686"/>
      <c r="C728" s="677"/>
      <c r="D728" s="686"/>
      <c r="E728" s="677"/>
      <c r="F728" s="686"/>
      <c r="G728" s="677"/>
    </row>
    <row r="729" spans="2:10" x14ac:dyDescent="0.2">
      <c r="B729" s="705" t="s">
        <v>2323</v>
      </c>
      <c r="C729" s="677"/>
      <c r="D729" s="705" t="s">
        <v>2324</v>
      </c>
      <c r="E729" s="677"/>
      <c r="F729" s="705" t="s">
        <v>2325</v>
      </c>
      <c r="G729" s="679"/>
    </row>
    <row r="730" spans="2:10" x14ac:dyDescent="0.2">
      <c r="B730" s="705" t="s">
        <v>1252</v>
      </c>
      <c r="C730" s="646"/>
      <c r="D730" s="705" t="s">
        <v>1251</v>
      </c>
      <c r="E730" s="646"/>
      <c r="F730" s="705" t="s">
        <v>1252</v>
      </c>
      <c r="G730" s="646"/>
    </row>
    <row r="731" spans="2:10" x14ac:dyDescent="0.2">
      <c r="B731" s="719" t="s">
        <v>1186</v>
      </c>
      <c r="C731" s="646"/>
      <c r="D731" s="719" t="s">
        <v>1187</v>
      </c>
      <c r="E731" s="646"/>
      <c r="F731" s="719" t="s">
        <v>1188</v>
      </c>
      <c r="G731" s="646"/>
    </row>
    <row r="732" spans="2:10" x14ac:dyDescent="0.2">
      <c r="B732" s="720" t="s">
        <v>1189</v>
      </c>
      <c r="C732" s="646"/>
      <c r="D732" s="720" t="s">
        <v>1190</v>
      </c>
      <c r="E732" s="646"/>
      <c r="F732" s="721" t="s">
        <v>1191</v>
      </c>
      <c r="G732" s="646"/>
    </row>
    <row r="733" spans="2:10" x14ac:dyDescent="0.2">
      <c r="B733" s="722" t="s">
        <v>1192</v>
      </c>
      <c r="C733" s="646"/>
      <c r="D733" s="723" t="s">
        <v>1193</v>
      </c>
      <c r="E733" s="646"/>
      <c r="F733" s="724" t="s">
        <v>1194</v>
      </c>
      <c r="G733" s="646"/>
    </row>
    <row r="734" spans="2:10" x14ac:dyDescent="0.2">
      <c r="B734" s="720" t="s">
        <v>1195</v>
      </c>
      <c r="C734" s="646"/>
      <c r="D734" s="721" t="s">
        <v>1196</v>
      </c>
      <c r="E734" s="646"/>
      <c r="F734" s="721" t="s">
        <v>1197</v>
      </c>
      <c r="G734" s="646"/>
    </row>
    <row r="735" spans="2:10" x14ac:dyDescent="0.2">
      <c r="B735" s="722" t="s">
        <v>1198</v>
      </c>
      <c r="C735" s="646"/>
      <c r="D735" s="725" t="s">
        <v>1199</v>
      </c>
      <c r="E735" s="646"/>
      <c r="F735" s="725" t="s">
        <v>1200</v>
      </c>
      <c r="G735" s="646"/>
    </row>
    <row r="736" spans="2:10" x14ac:dyDescent="0.2">
      <c r="B736" s="720" t="s">
        <v>1201</v>
      </c>
      <c r="C736" s="646"/>
      <c r="D736" s="726" t="s">
        <v>1202</v>
      </c>
      <c r="E736" s="646"/>
      <c r="F736" s="720" t="s">
        <v>1203</v>
      </c>
      <c r="G736" s="646"/>
    </row>
    <row r="737" spans="2:7" x14ac:dyDescent="0.2">
      <c r="B737" s="724" t="s">
        <v>1204</v>
      </c>
      <c r="C737" s="646"/>
      <c r="D737" s="646"/>
      <c r="E737" s="646"/>
      <c r="F737" s="724" t="s">
        <v>1205</v>
      </c>
      <c r="G737" s="646"/>
    </row>
    <row r="738" spans="2:7" x14ac:dyDescent="0.2">
      <c r="B738" s="726" t="s">
        <v>1206</v>
      </c>
      <c r="C738" s="646"/>
      <c r="D738" s="646"/>
      <c r="E738" s="646"/>
      <c r="F738" s="727" t="s">
        <v>1207</v>
      </c>
      <c r="G738" s="646"/>
    </row>
    <row r="739" spans="2:7" x14ac:dyDescent="0.2">
      <c r="B739" s="646"/>
      <c r="C739" s="646"/>
      <c r="D739" s="646"/>
      <c r="E739" s="646"/>
      <c r="F739" s="646"/>
      <c r="G739" s="646"/>
    </row>
    <row r="740" spans="2:7" x14ac:dyDescent="0.2">
      <c r="B740" s="646"/>
      <c r="C740" s="646"/>
      <c r="D740" s="646"/>
      <c r="E740" s="646"/>
      <c r="F740" s="646"/>
      <c r="G740" s="646"/>
    </row>
    <row r="741" spans="2:7" x14ac:dyDescent="0.2">
      <c r="B741" s="646"/>
      <c r="C741" s="677"/>
      <c r="D741" s="646"/>
      <c r="E741" s="677"/>
      <c r="F741" s="646"/>
      <c r="G741" s="677"/>
    </row>
    <row r="742" spans="2:7" x14ac:dyDescent="0.2">
      <c r="B742" s="705" t="s">
        <v>2326</v>
      </c>
      <c r="C742" s="677"/>
      <c r="D742" s="705" t="s">
        <v>2327</v>
      </c>
      <c r="E742" s="677"/>
      <c r="F742" s="705" t="s">
        <v>2328</v>
      </c>
      <c r="G742" s="679"/>
    </row>
    <row r="743" spans="2:7" x14ac:dyDescent="0.2">
      <c r="B743" s="705" t="s">
        <v>2254</v>
      </c>
      <c r="C743" s="646"/>
      <c r="D743" s="705" t="s">
        <v>1252</v>
      </c>
      <c r="E743" s="646"/>
      <c r="F743" s="705" t="s">
        <v>1251</v>
      </c>
      <c r="G743" s="646"/>
    </row>
    <row r="744" spans="2:7" x14ac:dyDescent="0.2">
      <c r="B744" s="719" t="s">
        <v>1208</v>
      </c>
      <c r="C744" s="646"/>
      <c r="D744" s="728" t="s">
        <v>1209</v>
      </c>
      <c r="E744" s="646"/>
      <c r="F744" s="719" t="s">
        <v>1210</v>
      </c>
      <c r="G744" s="646"/>
    </row>
    <row r="745" spans="2:7" x14ac:dyDescent="0.2">
      <c r="B745" s="729" t="s">
        <v>1211</v>
      </c>
      <c r="C745" s="646"/>
      <c r="D745" s="720" t="s">
        <v>1212</v>
      </c>
      <c r="E745" s="646"/>
      <c r="F745" s="730" t="s">
        <v>1213</v>
      </c>
      <c r="G745" s="646"/>
    </row>
    <row r="746" spans="2:7" x14ac:dyDescent="0.2">
      <c r="B746" s="723" t="s">
        <v>1214</v>
      </c>
      <c r="C746" s="646"/>
      <c r="D746" s="722" t="s">
        <v>1215</v>
      </c>
      <c r="E746" s="646"/>
      <c r="F746" s="724" t="s">
        <v>1216</v>
      </c>
      <c r="G746" s="646"/>
    </row>
    <row r="747" spans="2:7" x14ac:dyDescent="0.2">
      <c r="B747" s="729" t="s">
        <v>1217</v>
      </c>
      <c r="C747" s="646"/>
      <c r="D747" s="721" t="s">
        <v>1218</v>
      </c>
      <c r="E747" s="646"/>
      <c r="F747" s="729" t="s">
        <v>1219</v>
      </c>
      <c r="G747" s="646"/>
    </row>
    <row r="748" spans="2:7" x14ac:dyDescent="0.2">
      <c r="B748" s="724" t="s">
        <v>1220</v>
      </c>
      <c r="C748" s="646"/>
      <c r="D748" s="724" t="s">
        <v>1221</v>
      </c>
      <c r="E748" s="646"/>
      <c r="F748" s="725" t="s">
        <v>1222</v>
      </c>
      <c r="G748" s="646"/>
    </row>
    <row r="749" spans="2:7" x14ac:dyDescent="0.2">
      <c r="B749" s="721" t="s">
        <v>1223</v>
      </c>
      <c r="C749" s="646"/>
      <c r="D749" s="729" t="s">
        <v>1224</v>
      </c>
      <c r="E749" s="646"/>
      <c r="F749" s="731" t="s">
        <v>1225</v>
      </c>
      <c r="G749" s="646"/>
    </row>
    <row r="750" spans="2:7" x14ac:dyDescent="0.2">
      <c r="B750" s="725" t="s">
        <v>1226</v>
      </c>
      <c r="C750" s="646"/>
      <c r="D750" s="724" t="s">
        <v>1227</v>
      </c>
      <c r="E750" s="646"/>
      <c r="F750" s="646"/>
      <c r="G750" s="646"/>
    </row>
    <row r="751" spans="2:7" x14ac:dyDescent="0.2">
      <c r="B751" s="720" t="s">
        <v>1228</v>
      </c>
      <c r="C751" s="646"/>
      <c r="D751" s="727" t="s">
        <v>1229</v>
      </c>
      <c r="E751" s="646"/>
      <c r="F751" s="646"/>
      <c r="G751" s="646"/>
    </row>
    <row r="752" spans="2:7" x14ac:dyDescent="0.2">
      <c r="B752" s="732" t="s">
        <v>1230</v>
      </c>
      <c r="C752" s="646"/>
      <c r="D752" s="646"/>
      <c r="E752" s="646"/>
      <c r="F752" s="646"/>
      <c r="G752" s="646"/>
    </row>
    <row r="753" spans="2:10" x14ac:dyDescent="0.2">
      <c r="B753" s="646"/>
      <c r="C753" s="646"/>
      <c r="D753" s="646"/>
      <c r="E753" s="646"/>
      <c r="F753" s="646"/>
      <c r="G753" s="646"/>
    </row>
    <row r="754" spans="2:10" x14ac:dyDescent="0.2">
      <c r="B754" s="646"/>
      <c r="C754" s="646"/>
      <c r="D754" s="646"/>
      <c r="E754" s="646"/>
      <c r="F754" s="646"/>
      <c r="G754" s="646"/>
    </row>
    <row r="755" spans="2:10" x14ac:dyDescent="0.2">
      <c r="B755" s="646"/>
      <c r="C755" s="677"/>
      <c r="D755" s="646"/>
      <c r="E755" s="677"/>
      <c r="F755" s="646"/>
      <c r="G755" s="677"/>
    </row>
    <row r="756" spans="2:10" x14ac:dyDescent="0.2">
      <c r="B756" s="705" t="s">
        <v>2329</v>
      </c>
      <c r="C756" s="677"/>
      <c r="D756" s="705" t="s">
        <v>2330</v>
      </c>
      <c r="E756" s="677"/>
      <c r="F756" s="705" t="s">
        <v>2331</v>
      </c>
      <c r="G756" s="679"/>
    </row>
    <row r="757" spans="2:10" x14ac:dyDescent="0.2">
      <c r="B757" s="705" t="s">
        <v>2233</v>
      </c>
      <c r="C757" s="646"/>
      <c r="D757" s="705" t="s">
        <v>1251</v>
      </c>
      <c r="E757" s="646"/>
      <c r="F757" s="705" t="s">
        <v>1316</v>
      </c>
      <c r="G757" s="646"/>
    </row>
    <row r="758" spans="2:10" x14ac:dyDescent="0.2">
      <c r="B758" s="733" t="s">
        <v>1231</v>
      </c>
      <c r="C758" s="646"/>
      <c r="D758" s="733" t="s">
        <v>1232</v>
      </c>
      <c r="E758" s="646"/>
      <c r="F758" s="656" t="s">
        <v>1233</v>
      </c>
      <c r="G758" s="646"/>
    </row>
    <row r="759" spans="2:10" x14ac:dyDescent="0.2">
      <c r="B759" s="721" t="s">
        <v>2253</v>
      </c>
      <c r="C759" s="646"/>
      <c r="D759" s="720" t="s">
        <v>1234</v>
      </c>
      <c r="E759" s="646"/>
      <c r="F759" s="657" t="s">
        <v>1235</v>
      </c>
      <c r="G759" s="646"/>
    </row>
    <row r="760" spans="2:10" x14ac:dyDescent="0.2">
      <c r="B760" s="724" t="s">
        <v>1236</v>
      </c>
      <c r="C760" s="646"/>
      <c r="D760" s="724" t="s">
        <v>1237</v>
      </c>
      <c r="E760" s="646"/>
      <c r="F760" s="712" t="s">
        <v>1238</v>
      </c>
      <c r="G760" s="646"/>
    </row>
    <row r="761" spans="2:10" x14ac:dyDescent="0.2">
      <c r="B761" s="720" t="s">
        <v>1239</v>
      </c>
      <c r="C761" s="646"/>
      <c r="D761" s="720" t="s">
        <v>1240</v>
      </c>
      <c r="E761" s="646"/>
      <c r="F761" s="662" t="s">
        <v>1241</v>
      </c>
      <c r="G761" s="646"/>
    </row>
    <row r="762" spans="2:10" x14ac:dyDescent="0.2">
      <c r="B762" s="725" t="s">
        <v>1242</v>
      </c>
      <c r="C762" s="646"/>
      <c r="D762" s="725" t="s">
        <v>1243</v>
      </c>
      <c r="E762" s="646"/>
      <c r="F762" s="646"/>
      <c r="G762" s="646"/>
    </row>
    <row r="763" spans="2:10" x14ac:dyDescent="0.2">
      <c r="B763" s="720" t="s">
        <v>1244</v>
      </c>
      <c r="C763" s="646"/>
      <c r="D763" s="731" t="s">
        <v>1245</v>
      </c>
      <c r="E763" s="646"/>
      <c r="F763" s="646"/>
      <c r="G763" s="646"/>
    </row>
    <row r="764" spans="2:10" x14ac:dyDescent="0.2">
      <c r="B764" s="734" t="s">
        <v>1246</v>
      </c>
      <c r="C764" s="646"/>
      <c r="D764" s="646"/>
      <c r="E764" s="646"/>
      <c r="F764" s="646"/>
      <c r="G764" s="646"/>
    </row>
    <row r="765" spans="2:10" x14ac:dyDescent="0.2">
      <c r="B765" s="646"/>
      <c r="C765" s="686"/>
      <c r="D765" s="646"/>
      <c r="E765" s="686"/>
      <c r="F765" s="646"/>
      <c r="G765" s="686"/>
    </row>
    <row r="766" spans="2:10" x14ac:dyDescent="0.2">
      <c r="B766" s="686"/>
      <c r="C766" s="686"/>
      <c r="D766" s="686"/>
      <c r="E766" s="686"/>
      <c r="F766" s="686"/>
      <c r="G766" s="686"/>
    </row>
    <row r="767" spans="2:10" ht="15" x14ac:dyDescent="0.2">
      <c r="B767" s="686"/>
      <c r="C767" s="694"/>
      <c r="D767" s="648" t="s">
        <v>1247</v>
      </c>
      <c r="E767" s="694"/>
      <c r="F767" s="686"/>
      <c r="G767" s="686"/>
    </row>
    <row r="768" spans="2:10" ht="15" x14ac:dyDescent="0.2">
      <c r="B768" s="686"/>
      <c r="C768" s="695"/>
      <c r="D768" s="650" t="str">
        <f>COUNTA(B773:F783)+COUNTA(B789:F797)+COUNTA(B803:F808)&amp;" Total Castings"</f>
        <v>70 Total Castings</v>
      </c>
      <c r="E768" s="695"/>
      <c r="F768" s="686"/>
      <c r="G768" s="686"/>
      <c r="J768" s="645">
        <v>70</v>
      </c>
    </row>
    <row r="769" spans="2:7" x14ac:dyDescent="0.2">
      <c r="B769" s="686"/>
      <c r="C769" s="686"/>
      <c r="D769" s="686"/>
      <c r="E769" s="686"/>
      <c r="F769" s="686"/>
      <c r="G769" s="686"/>
    </row>
    <row r="770" spans="2:7" x14ac:dyDescent="0.2">
      <c r="B770" s="686"/>
      <c r="C770" s="735"/>
      <c r="D770" s="686"/>
      <c r="E770" s="735"/>
      <c r="F770" s="686"/>
      <c r="G770" s="686"/>
    </row>
    <row r="771" spans="2:7" x14ac:dyDescent="0.2">
      <c r="B771" s="735" t="s">
        <v>1248</v>
      </c>
      <c r="C771" s="735"/>
      <c r="D771" s="735" t="s">
        <v>1249</v>
      </c>
      <c r="E771" s="735"/>
      <c r="F771" s="735" t="s">
        <v>1250</v>
      </c>
      <c r="G771" s="646"/>
    </row>
    <row r="772" spans="2:7" x14ac:dyDescent="0.2">
      <c r="B772" s="735" t="s">
        <v>2235</v>
      </c>
      <c r="C772" s="646"/>
      <c r="D772" s="735" t="s">
        <v>2234</v>
      </c>
      <c r="E772" s="646"/>
      <c r="F772" s="735" t="s">
        <v>2235</v>
      </c>
      <c r="G772" s="646"/>
    </row>
    <row r="773" spans="2:7" x14ac:dyDescent="0.2">
      <c r="B773" s="719" t="s">
        <v>1253</v>
      </c>
      <c r="C773" s="646"/>
      <c r="D773" s="728" t="s">
        <v>1254</v>
      </c>
      <c r="E773" s="646"/>
      <c r="F773" s="728" t="s">
        <v>1255</v>
      </c>
      <c r="G773" s="646"/>
    </row>
    <row r="774" spans="2:7" x14ac:dyDescent="0.2">
      <c r="B774" s="720" t="s">
        <v>1256</v>
      </c>
      <c r="C774" s="646"/>
      <c r="D774" s="720" t="s">
        <v>1257</v>
      </c>
      <c r="E774" s="646"/>
      <c r="F774" s="720" t="s">
        <v>1258</v>
      </c>
      <c r="G774" s="646"/>
    </row>
    <row r="775" spans="2:7" x14ac:dyDescent="0.2">
      <c r="B775" s="724" t="s">
        <v>1259</v>
      </c>
      <c r="C775" s="646"/>
      <c r="D775" s="724" t="s">
        <v>1260</v>
      </c>
      <c r="E775" s="646"/>
      <c r="F775" s="725" t="s">
        <v>1261</v>
      </c>
      <c r="G775" s="646"/>
    </row>
    <row r="776" spans="2:7" x14ac:dyDescent="0.2">
      <c r="B776" s="720" t="s">
        <v>1262</v>
      </c>
      <c r="C776" s="646"/>
      <c r="D776" s="720" t="s">
        <v>1263</v>
      </c>
      <c r="E776" s="646"/>
      <c r="F776" s="730" t="s">
        <v>1264</v>
      </c>
      <c r="G776" s="646"/>
    </row>
    <row r="777" spans="2:7" x14ac:dyDescent="0.2">
      <c r="B777" s="725" t="s">
        <v>1265</v>
      </c>
      <c r="C777" s="646"/>
      <c r="D777" s="725" t="s">
        <v>1266</v>
      </c>
      <c r="E777" s="646"/>
      <c r="F777" s="725" t="s">
        <v>1267</v>
      </c>
      <c r="G777" s="646"/>
    </row>
    <row r="778" spans="2:7" x14ac:dyDescent="0.2">
      <c r="B778" s="721" t="s">
        <v>1268</v>
      </c>
      <c r="C778" s="646"/>
      <c r="D778" s="720" t="s">
        <v>1269</v>
      </c>
      <c r="E778" s="646"/>
      <c r="F778" s="730" t="s">
        <v>1270</v>
      </c>
      <c r="G778" s="646"/>
    </row>
    <row r="779" spans="2:7" x14ac:dyDescent="0.2">
      <c r="B779" s="723" t="s">
        <v>1271</v>
      </c>
      <c r="C779" s="646"/>
      <c r="D779" s="724" t="s">
        <v>1272</v>
      </c>
      <c r="E779" s="646"/>
      <c r="F779" s="723" t="s">
        <v>1273</v>
      </c>
      <c r="G779" s="646"/>
    </row>
    <row r="780" spans="2:7" x14ac:dyDescent="0.2">
      <c r="B780" s="730" t="s">
        <v>1274</v>
      </c>
      <c r="C780" s="646"/>
      <c r="D780" s="721" t="s">
        <v>1275</v>
      </c>
      <c r="E780" s="646"/>
      <c r="F780" s="721" t="s">
        <v>1276</v>
      </c>
      <c r="G780" s="646"/>
    </row>
    <row r="781" spans="2:7" x14ac:dyDescent="0.2">
      <c r="B781" s="725" t="s">
        <v>1277</v>
      </c>
      <c r="C781" s="646"/>
      <c r="D781" s="725" t="s">
        <v>1278</v>
      </c>
      <c r="E781" s="646"/>
      <c r="F781" s="724" t="s">
        <v>1279</v>
      </c>
      <c r="G781" s="646"/>
    </row>
    <row r="782" spans="2:7" x14ac:dyDescent="0.2">
      <c r="B782" s="721" t="s">
        <v>1280</v>
      </c>
      <c r="C782" s="646"/>
      <c r="D782" s="730" t="s">
        <v>1281</v>
      </c>
      <c r="E782" s="646"/>
      <c r="F782" s="720" t="s">
        <v>1282</v>
      </c>
      <c r="G782" s="646"/>
    </row>
    <row r="783" spans="2:7" x14ac:dyDescent="0.2">
      <c r="B783" s="732" t="s">
        <v>1283</v>
      </c>
      <c r="C783" s="646"/>
      <c r="D783" s="704"/>
      <c r="E783" s="646"/>
      <c r="F783" s="732" t="s">
        <v>1284</v>
      </c>
      <c r="G783" s="646"/>
    </row>
    <row r="784" spans="2:7" x14ac:dyDescent="0.2">
      <c r="B784" s="646"/>
      <c r="C784" s="735"/>
      <c r="D784" s="646"/>
      <c r="E784" s="735"/>
      <c r="F784" s="646"/>
      <c r="G784" s="686"/>
    </row>
    <row r="785" spans="2:7" x14ac:dyDescent="0.2">
      <c r="B785" s="646"/>
      <c r="C785" s="735"/>
      <c r="D785" s="646"/>
      <c r="E785" s="735"/>
      <c r="F785" s="646"/>
      <c r="G785" s="686"/>
    </row>
    <row r="786" spans="2:7" x14ac:dyDescent="0.2">
      <c r="B786" s="646"/>
      <c r="C786" s="735"/>
      <c r="D786" s="646"/>
      <c r="E786" s="735"/>
      <c r="F786" s="646"/>
      <c r="G786" s="686"/>
    </row>
    <row r="787" spans="2:7" x14ac:dyDescent="0.2">
      <c r="B787" s="735" t="s">
        <v>1285</v>
      </c>
      <c r="C787" s="735"/>
      <c r="D787" s="735" t="s">
        <v>1286</v>
      </c>
      <c r="E787" s="735"/>
      <c r="F787" s="735" t="s">
        <v>1287</v>
      </c>
      <c r="G787" s="646"/>
    </row>
    <row r="788" spans="2:7" x14ac:dyDescent="0.2">
      <c r="B788" s="735" t="s">
        <v>2254</v>
      </c>
      <c r="C788" s="646"/>
      <c r="D788" s="735" t="s">
        <v>1252</v>
      </c>
      <c r="E788" s="646"/>
      <c r="F788" s="735" t="s">
        <v>2233</v>
      </c>
      <c r="G788" s="646"/>
    </row>
    <row r="789" spans="2:7" x14ac:dyDescent="0.2">
      <c r="B789" s="719" t="s">
        <v>1289</v>
      </c>
      <c r="C789" s="646"/>
      <c r="D789" s="715" t="s">
        <v>1290</v>
      </c>
      <c r="E789" s="646"/>
      <c r="F789" s="656" t="s">
        <v>1291</v>
      </c>
      <c r="G789" s="646"/>
    </row>
    <row r="790" spans="2:7" x14ac:dyDescent="0.2">
      <c r="B790" s="721" t="s">
        <v>1292</v>
      </c>
      <c r="C790" s="646"/>
      <c r="D790" s="717" t="s">
        <v>1293</v>
      </c>
      <c r="E790" s="646"/>
      <c r="F790" s="717" t="s">
        <v>1294</v>
      </c>
      <c r="G790" s="646"/>
    </row>
    <row r="791" spans="2:7" x14ac:dyDescent="0.2">
      <c r="B791" s="724" t="s">
        <v>1295</v>
      </c>
      <c r="C791" s="646"/>
      <c r="D791" s="664" t="s">
        <v>1296</v>
      </c>
      <c r="E791" s="646"/>
      <c r="F791" s="712" t="s">
        <v>1297</v>
      </c>
      <c r="G791" s="646"/>
    </row>
    <row r="792" spans="2:7" x14ac:dyDescent="0.2">
      <c r="B792" s="721" t="s">
        <v>1298</v>
      </c>
      <c r="C792" s="646"/>
      <c r="D792" s="717" t="s">
        <v>1299</v>
      </c>
      <c r="E792" s="646"/>
      <c r="F792" s="710" t="s">
        <v>1300</v>
      </c>
      <c r="G792" s="646"/>
    </row>
    <row r="793" spans="2:7" x14ac:dyDescent="0.2">
      <c r="B793" s="723" t="s">
        <v>1301</v>
      </c>
      <c r="C793" s="646"/>
      <c r="D793" s="658" t="s">
        <v>1302</v>
      </c>
      <c r="E793" s="646"/>
      <c r="F793" s="664" t="s">
        <v>1303</v>
      </c>
      <c r="G793" s="646"/>
    </row>
    <row r="794" spans="2:7" x14ac:dyDescent="0.2">
      <c r="B794" s="730" t="s">
        <v>1304</v>
      </c>
      <c r="C794" s="646"/>
      <c r="D794" s="717" t="s">
        <v>1305</v>
      </c>
      <c r="E794" s="646"/>
      <c r="F794" s="717" t="s">
        <v>1306</v>
      </c>
      <c r="G794" s="646"/>
    </row>
    <row r="795" spans="2:7" x14ac:dyDescent="0.2">
      <c r="B795" s="723" t="s">
        <v>1307</v>
      </c>
      <c r="C795" s="646"/>
      <c r="D795" s="712" t="s">
        <v>1308</v>
      </c>
      <c r="E795" s="646"/>
      <c r="F795" s="736" t="s">
        <v>1309</v>
      </c>
      <c r="G795" s="646"/>
    </row>
    <row r="796" spans="2:7" x14ac:dyDescent="0.2">
      <c r="B796" s="720" t="s">
        <v>1310</v>
      </c>
      <c r="C796" s="646"/>
      <c r="D796" s="662" t="s">
        <v>1311</v>
      </c>
      <c r="E796" s="646"/>
      <c r="F796" s="646"/>
      <c r="G796" s="646"/>
    </row>
    <row r="797" spans="2:7" x14ac:dyDescent="0.2">
      <c r="B797" s="732" t="s">
        <v>1312</v>
      </c>
      <c r="C797" s="646"/>
      <c r="D797" s="646"/>
      <c r="E797" s="646"/>
      <c r="F797" s="646"/>
      <c r="G797" s="646"/>
    </row>
    <row r="798" spans="2:7" x14ac:dyDescent="0.2">
      <c r="B798" s="646"/>
      <c r="C798" s="735"/>
      <c r="D798" s="646"/>
      <c r="E798" s="735"/>
      <c r="F798" s="646"/>
      <c r="G798" s="686"/>
    </row>
    <row r="799" spans="2:7" x14ac:dyDescent="0.2">
      <c r="B799" s="646"/>
      <c r="C799" s="735"/>
      <c r="D799" s="646"/>
      <c r="E799" s="735"/>
      <c r="F799" s="646"/>
      <c r="G799" s="686"/>
    </row>
    <row r="800" spans="2:7" x14ac:dyDescent="0.2">
      <c r="B800" s="646"/>
      <c r="C800" s="735"/>
      <c r="D800" s="646"/>
      <c r="E800" s="735"/>
      <c r="F800" s="646"/>
      <c r="G800" s="686"/>
    </row>
    <row r="801" spans="2:10" x14ac:dyDescent="0.2">
      <c r="B801" s="735" t="s">
        <v>1313</v>
      </c>
      <c r="C801" s="735"/>
      <c r="D801" s="735" t="s">
        <v>1314</v>
      </c>
      <c r="E801" s="735"/>
      <c r="F801" s="735" t="s">
        <v>1315</v>
      </c>
      <c r="G801" s="646"/>
    </row>
    <row r="802" spans="2:10" x14ac:dyDescent="0.2">
      <c r="B802" s="735" t="s">
        <v>1251</v>
      </c>
      <c r="C802" s="646"/>
      <c r="D802" s="735" t="s">
        <v>1316</v>
      </c>
      <c r="E802" s="646"/>
      <c r="F802" s="735" t="s">
        <v>1316</v>
      </c>
      <c r="G802" s="646"/>
    </row>
    <row r="803" spans="2:10" x14ac:dyDescent="0.2">
      <c r="B803" s="709" t="s">
        <v>1318</v>
      </c>
      <c r="C803" s="646"/>
      <c r="D803" s="709" t="s">
        <v>1319</v>
      </c>
      <c r="E803" s="646"/>
      <c r="F803" s="709" t="s">
        <v>1320</v>
      </c>
      <c r="G803" s="646"/>
    </row>
    <row r="804" spans="2:10" x14ac:dyDescent="0.2">
      <c r="B804" s="710" t="s">
        <v>1321</v>
      </c>
      <c r="C804" s="646"/>
      <c r="D804" s="657" t="s">
        <v>1322</v>
      </c>
      <c r="E804" s="646"/>
      <c r="F804" s="710" t="s">
        <v>1323</v>
      </c>
      <c r="G804" s="646"/>
    </row>
    <row r="805" spans="2:10" x14ac:dyDescent="0.2">
      <c r="B805" s="664" t="s">
        <v>1324</v>
      </c>
      <c r="C805" s="646"/>
      <c r="D805" s="712" t="s">
        <v>1325</v>
      </c>
      <c r="E805" s="646"/>
      <c r="F805" s="712" t="s">
        <v>1326</v>
      </c>
      <c r="G805" s="646"/>
    </row>
    <row r="806" spans="2:10" x14ac:dyDescent="0.2">
      <c r="B806" s="717" t="s">
        <v>1327</v>
      </c>
      <c r="C806" s="646"/>
      <c r="D806" s="713" t="s">
        <v>1328</v>
      </c>
      <c r="E806" s="646"/>
      <c r="F806" s="737" t="s">
        <v>1329</v>
      </c>
      <c r="G806" s="646"/>
    </row>
    <row r="807" spans="2:10" x14ac:dyDescent="0.2">
      <c r="B807" s="712" t="s">
        <v>1330</v>
      </c>
      <c r="C807" s="646"/>
      <c r="D807" s="646"/>
      <c r="E807" s="646"/>
      <c r="F807" s="646"/>
      <c r="G807" s="646"/>
    </row>
    <row r="808" spans="2:10" x14ac:dyDescent="0.2">
      <c r="B808" s="662" t="s">
        <v>1331</v>
      </c>
      <c r="C808" s="646"/>
      <c r="D808" s="646"/>
      <c r="E808" s="646"/>
      <c r="F808" s="646"/>
      <c r="G808" s="646"/>
    </row>
    <row r="809" spans="2:10" x14ac:dyDescent="0.2">
      <c r="B809" s="646"/>
      <c r="C809" s="646"/>
      <c r="D809" s="646"/>
      <c r="E809" s="646"/>
      <c r="F809" s="646"/>
      <c r="G809" s="646"/>
    </row>
    <row r="810" spans="2:10" x14ac:dyDescent="0.2">
      <c r="B810" s="646"/>
      <c r="C810" s="686"/>
      <c r="D810" s="646"/>
      <c r="E810" s="686"/>
      <c r="F810" s="646"/>
      <c r="G810" s="686"/>
    </row>
    <row r="811" spans="2:10" ht="15" x14ac:dyDescent="0.2">
      <c r="B811" s="686"/>
      <c r="C811" s="694"/>
      <c r="D811" s="648" t="s">
        <v>1332</v>
      </c>
      <c r="E811" s="686"/>
      <c r="F811" s="686"/>
      <c r="G811" s="686"/>
    </row>
    <row r="812" spans="2:10" ht="15" x14ac:dyDescent="0.2">
      <c r="B812" s="686"/>
      <c r="C812" s="695"/>
      <c r="D812" s="650" t="str">
        <f>COUNTA(B817:F822)+COUNTA(B827:F830)+COUNTA(B835:F837)&amp;" Total Castings"</f>
        <v>36 Total Castings</v>
      </c>
      <c r="E812" s="686"/>
      <c r="F812" s="686"/>
      <c r="G812" s="686"/>
      <c r="J812" s="645">
        <v>36</v>
      </c>
    </row>
    <row r="813" spans="2:10" x14ac:dyDescent="0.2">
      <c r="B813" s="686"/>
      <c r="C813" s="686"/>
      <c r="D813" s="686"/>
      <c r="E813" s="686"/>
      <c r="F813" s="686"/>
      <c r="G813" s="686"/>
    </row>
    <row r="814" spans="2:10" x14ac:dyDescent="0.2">
      <c r="B814" s="686"/>
      <c r="C814" s="677"/>
      <c r="D814" s="686"/>
      <c r="E814" s="677"/>
      <c r="F814" s="686"/>
      <c r="G814" s="677"/>
    </row>
    <row r="815" spans="2:10" x14ac:dyDescent="0.2">
      <c r="B815" s="705" t="s">
        <v>2323</v>
      </c>
      <c r="C815" s="677"/>
      <c r="D815" s="705" t="s">
        <v>2324</v>
      </c>
      <c r="E815" s="677"/>
      <c r="F815" s="705" t="s">
        <v>2325</v>
      </c>
      <c r="G815" s="679"/>
    </row>
    <row r="816" spans="2:10" x14ac:dyDescent="0.2">
      <c r="B816" s="735" t="s">
        <v>1251</v>
      </c>
      <c r="C816" s="646"/>
      <c r="D816" s="735" t="s">
        <v>1251</v>
      </c>
      <c r="E816" s="646"/>
      <c r="F816" s="705" t="s">
        <v>1288</v>
      </c>
      <c r="G816" s="646"/>
    </row>
    <row r="817" spans="2:7" x14ac:dyDescent="0.2">
      <c r="B817" s="656" t="s">
        <v>1333</v>
      </c>
      <c r="C817" s="646"/>
      <c r="D817" s="656" t="s">
        <v>1334</v>
      </c>
      <c r="E817" s="646"/>
      <c r="F817" s="656" t="s">
        <v>1335</v>
      </c>
      <c r="G817" s="646"/>
    </row>
    <row r="818" spans="2:7" x14ac:dyDescent="0.2">
      <c r="B818" s="657" t="s">
        <v>1336</v>
      </c>
      <c r="C818" s="646"/>
      <c r="D818" s="657" t="s">
        <v>1337</v>
      </c>
      <c r="E818" s="646"/>
      <c r="F818" s="657" t="s">
        <v>1338</v>
      </c>
      <c r="G818" s="646"/>
    </row>
    <row r="819" spans="2:7" x14ac:dyDescent="0.2">
      <c r="B819" s="658" t="s">
        <v>1339</v>
      </c>
      <c r="C819" s="646"/>
      <c r="D819" s="658" t="s">
        <v>1340</v>
      </c>
      <c r="E819" s="646"/>
      <c r="F819" s="658" t="s">
        <v>1341</v>
      </c>
      <c r="G819" s="646"/>
    </row>
    <row r="820" spans="2:7" x14ac:dyDescent="0.2">
      <c r="B820" s="657" t="s">
        <v>1342</v>
      </c>
      <c r="C820" s="646"/>
      <c r="D820" s="657" t="s">
        <v>578</v>
      </c>
      <c r="E820" s="646"/>
      <c r="F820" s="657" t="s">
        <v>1343</v>
      </c>
      <c r="G820" s="646"/>
    </row>
    <row r="821" spans="2:7" x14ac:dyDescent="0.2">
      <c r="B821" s="658" t="s">
        <v>1344</v>
      </c>
      <c r="C821" s="646"/>
      <c r="D821" s="658" t="s">
        <v>1345</v>
      </c>
      <c r="E821" s="646"/>
      <c r="F821" s="658" t="s">
        <v>1346</v>
      </c>
      <c r="G821" s="646"/>
    </row>
    <row r="822" spans="2:7" x14ac:dyDescent="0.2">
      <c r="B822" s="662" t="s">
        <v>1347</v>
      </c>
      <c r="C822" s="646"/>
      <c r="D822" s="662" t="s">
        <v>1348</v>
      </c>
      <c r="E822" s="646"/>
      <c r="F822" s="662"/>
      <c r="G822" s="646"/>
    </row>
    <row r="823" spans="2:7" x14ac:dyDescent="0.2">
      <c r="B823" s="646"/>
      <c r="C823" s="646"/>
      <c r="D823" s="646"/>
      <c r="E823" s="646"/>
      <c r="F823" s="646"/>
      <c r="G823" s="646"/>
    </row>
    <row r="824" spans="2:7" x14ac:dyDescent="0.2">
      <c r="B824" s="646"/>
      <c r="C824" s="677"/>
      <c r="D824" s="646"/>
      <c r="E824" s="677"/>
      <c r="F824" s="646"/>
      <c r="G824" s="677"/>
    </row>
    <row r="825" spans="2:7" x14ac:dyDescent="0.2">
      <c r="B825" s="705" t="s">
        <v>2326</v>
      </c>
      <c r="C825" s="677"/>
      <c r="D825" s="705" t="s">
        <v>2327</v>
      </c>
      <c r="E825" s="677"/>
      <c r="F825" s="705" t="s">
        <v>2328</v>
      </c>
      <c r="G825" s="679"/>
    </row>
    <row r="826" spans="2:7" x14ac:dyDescent="0.2">
      <c r="B826" s="705" t="s">
        <v>1316</v>
      </c>
      <c r="C826" s="646"/>
      <c r="D826" s="705" t="s">
        <v>2252</v>
      </c>
      <c r="E826" s="646"/>
      <c r="F826" s="705" t="s">
        <v>2252</v>
      </c>
      <c r="G826" s="646"/>
    </row>
    <row r="827" spans="2:7" x14ac:dyDescent="0.2">
      <c r="B827" s="656" t="s">
        <v>1349</v>
      </c>
      <c r="C827" s="646"/>
      <c r="D827" s="656" t="s">
        <v>1350</v>
      </c>
      <c r="E827" s="646"/>
      <c r="F827" s="656" t="s">
        <v>1351</v>
      </c>
      <c r="G827" s="646"/>
    </row>
    <row r="828" spans="2:7" x14ac:dyDescent="0.2">
      <c r="B828" s="657" t="s">
        <v>1352</v>
      </c>
      <c r="C828" s="646"/>
      <c r="D828" s="657" t="s">
        <v>1353</v>
      </c>
      <c r="E828" s="646"/>
      <c r="F828" s="657" t="s">
        <v>1354</v>
      </c>
      <c r="G828" s="646"/>
    </row>
    <row r="829" spans="2:7" x14ac:dyDescent="0.2">
      <c r="B829" s="658" t="s">
        <v>1355</v>
      </c>
      <c r="C829" s="646"/>
      <c r="D829" s="658" t="s">
        <v>1356</v>
      </c>
      <c r="E829" s="646"/>
      <c r="F829" s="658" t="s">
        <v>1357</v>
      </c>
      <c r="G829" s="646"/>
    </row>
    <row r="830" spans="2:7" x14ac:dyDescent="0.2">
      <c r="B830" s="662" t="s">
        <v>1358</v>
      </c>
      <c r="C830" s="646"/>
      <c r="D830" s="662"/>
      <c r="E830" s="646"/>
      <c r="F830" s="662"/>
      <c r="G830" s="646"/>
    </row>
    <row r="831" spans="2:7" x14ac:dyDescent="0.2">
      <c r="B831" s="646"/>
      <c r="C831" s="646"/>
      <c r="D831" s="646"/>
      <c r="E831" s="646"/>
      <c r="F831" s="646"/>
      <c r="G831" s="646"/>
    </row>
    <row r="832" spans="2:7" x14ac:dyDescent="0.2">
      <c r="B832" s="646"/>
      <c r="C832" s="677"/>
      <c r="D832" s="646"/>
      <c r="E832" s="677"/>
      <c r="F832" s="646"/>
      <c r="G832" s="677"/>
    </row>
    <row r="833" spans="2:10" x14ac:dyDescent="0.2">
      <c r="B833" s="705" t="s">
        <v>2329</v>
      </c>
      <c r="C833" s="677"/>
      <c r="D833" s="705" t="s">
        <v>2330</v>
      </c>
      <c r="E833" s="677"/>
      <c r="F833" s="705" t="s">
        <v>2331</v>
      </c>
      <c r="G833" s="679"/>
    </row>
    <row r="834" spans="2:10" x14ac:dyDescent="0.2">
      <c r="B834" s="705" t="s">
        <v>2252</v>
      </c>
      <c r="C834" s="646"/>
      <c r="D834" s="705" t="s">
        <v>2252</v>
      </c>
      <c r="E834" s="646"/>
      <c r="F834" s="705" t="s">
        <v>2252</v>
      </c>
      <c r="G834" s="646"/>
    </row>
    <row r="835" spans="2:10" x14ac:dyDescent="0.2">
      <c r="B835" s="656" t="s">
        <v>1359</v>
      </c>
      <c r="C835" s="652"/>
      <c r="D835" s="656" t="s">
        <v>1360</v>
      </c>
      <c r="E835" s="652"/>
      <c r="F835" s="656" t="s">
        <v>1361</v>
      </c>
      <c r="G835" s="646"/>
    </row>
    <row r="836" spans="2:10" x14ac:dyDescent="0.2">
      <c r="B836" s="657" t="s">
        <v>1362</v>
      </c>
      <c r="C836" s="652"/>
      <c r="D836" s="657" t="s">
        <v>1363</v>
      </c>
      <c r="E836" s="652"/>
      <c r="F836" s="657" t="s">
        <v>1364</v>
      </c>
      <c r="G836" s="646"/>
    </row>
    <row r="837" spans="2:10" x14ac:dyDescent="0.2">
      <c r="B837" s="665" t="s">
        <v>1365</v>
      </c>
      <c r="C837" s="652"/>
      <c r="D837" s="665" t="s">
        <v>1366</v>
      </c>
      <c r="E837" s="652"/>
      <c r="F837" s="665" t="s">
        <v>1367</v>
      </c>
      <c r="G837" s="646"/>
    </row>
    <row r="838" spans="2:10" x14ac:dyDescent="0.2">
      <c r="B838" s="652"/>
      <c r="C838" s="652"/>
      <c r="D838" s="652"/>
      <c r="E838" s="652"/>
      <c r="F838" s="652"/>
      <c r="G838" s="646"/>
    </row>
    <row r="839" spans="2:10" x14ac:dyDescent="0.2">
      <c r="B839" s="652"/>
      <c r="C839" s="652"/>
      <c r="D839" s="652"/>
      <c r="E839" s="652"/>
      <c r="F839" s="652"/>
      <c r="G839" s="646"/>
    </row>
    <row r="840" spans="2:10" x14ac:dyDescent="0.2">
      <c r="B840" s="646"/>
      <c r="C840" s="686"/>
      <c r="D840" s="646"/>
      <c r="E840" s="686"/>
      <c r="F840" s="646"/>
      <c r="G840" s="686"/>
    </row>
    <row r="841" spans="2:10" ht="15" x14ac:dyDescent="0.2">
      <c r="B841" s="686"/>
      <c r="C841" s="694"/>
      <c r="D841" s="648" t="s">
        <v>1368</v>
      </c>
      <c r="E841" s="694"/>
      <c r="F841" s="686"/>
      <c r="G841" s="686"/>
    </row>
    <row r="842" spans="2:10" ht="15" x14ac:dyDescent="0.2">
      <c r="B842" s="686"/>
      <c r="C842" s="695"/>
      <c r="D842" s="650" t="str">
        <f>COUNTA(B847:F856)+COUNTA(B861:F868)+COUNTA(B873:F878)&amp;" Total Castings"</f>
        <v>61 Total Castings</v>
      </c>
      <c r="E842" s="695"/>
      <c r="F842" s="686"/>
      <c r="G842" s="686"/>
      <c r="J842" s="645">
        <v>61</v>
      </c>
    </row>
    <row r="843" spans="2:10" x14ac:dyDescent="0.2">
      <c r="B843" s="686"/>
      <c r="C843" s="686"/>
      <c r="D843" s="686"/>
      <c r="E843" s="686"/>
      <c r="F843" s="686"/>
      <c r="G843" s="686"/>
    </row>
    <row r="844" spans="2:10" x14ac:dyDescent="0.2">
      <c r="B844" s="686"/>
      <c r="C844" s="677"/>
      <c r="D844" s="686"/>
      <c r="E844" s="677"/>
      <c r="F844" s="686"/>
      <c r="G844" s="677"/>
    </row>
    <row r="845" spans="2:10" x14ac:dyDescent="0.2">
      <c r="B845" s="705" t="s">
        <v>2323</v>
      </c>
      <c r="C845" s="677"/>
      <c r="D845" s="705" t="s">
        <v>2324</v>
      </c>
      <c r="E845" s="677"/>
      <c r="F845" s="705" t="s">
        <v>2325</v>
      </c>
      <c r="G845" s="679"/>
    </row>
    <row r="846" spans="2:10" x14ac:dyDescent="0.2">
      <c r="B846" s="705" t="s">
        <v>2234</v>
      </c>
      <c r="C846" s="646"/>
      <c r="D846" s="705" t="s">
        <v>1252</v>
      </c>
      <c r="E846" s="646"/>
      <c r="F846" s="705" t="s">
        <v>1252</v>
      </c>
      <c r="G846" s="646"/>
    </row>
    <row r="847" spans="2:10" x14ac:dyDescent="0.2">
      <c r="B847" s="656" t="s">
        <v>1369</v>
      </c>
      <c r="C847" s="652"/>
      <c r="D847" s="656" t="s">
        <v>1157</v>
      </c>
      <c r="E847" s="652"/>
      <c r="F847" s="656" t="s">
        <v>1370</v>
      </c>
      <c r="G847" s="646"/>
    </row>
    <row r="848" spans="2:10" x14ac:dyDescent="0.2">
      <c r="B848" s="657" t="s">
        <v>1371</v>
      </c>
      <c r="C848" s="652"/>
      <c r="D848" s="657" t="s">
        <v>1372</v>
      </c>
      <c r="E848" s="652"/>
      <c r="F848" s="657" t="s">
        <v>1373</v>
      </c>
      <c r="G848" s="646"/>
    </row>
    <row r="849" spans="2:7" x14ac:dyDescent="0.2">
      <c r="B849" s="658" t="s">
        <v>1374</v>
      </c>
      <c r="C849" s="652"/>
      <c r="D849" s="658" t="s">
        <v>1375</v>
      </c>
      <c r="E849" s="652"/>
      <c r="F849" s="658" t="s">
        <v>1376</v>
      </c>
      <c r="G849" s="646"/>
    </row>
    <row r="850" spans="2:7" x14ac:dyDescent="0.2">
      <c r="B850" s="657" t="s">
        <v>1377</v>
      </c>
      <c r="C850" s="652"/>
      <c r="D850" s="657" t="s">
        <v>1378</v>
      </c>
      <c r="E850" s="652"/>
      <c r="F850" s="657" t="s">
        <v>1379</v>
      </c>
      <c r="G850" s="646"/>
    </row>
    <row r="851" spans="2:7" x14ac:dyDescent="0.2">
      <c r="B851" s="658" t="s">
        <v>1380</v>
      </c>
      <c r="C851" s="652"/>
      <c r="D851" s="658" t="s">
        <v>1381</v>
      </c>
      <c r="E851" s="652"/>
      <c r="F851" s="658" t="s">
        <v>1382</v>
      </c>
      <c r="G851" s="646"/>
    </row>
    <row r="852" spans="2:7" x14ac:dyDescent="0.2">
      <c r="B852" s="657" t="s">
        <v>1383</v>
      </c>
      <c r="C852" s="652"/>
      <c r="D852" s="657" t="s">
        <v>1384</v>
      </c>
      <c r="E852" s="652"/>
      <c r="F852" s="657" t="s">
        <v>1385</v>
      </c>
      <c r="G852" s="646"/>
    </row>
    <row r="853" spans="2:7" x14ac:dyDescent="0.2">
      <c r="B853" s="658" t="s">
        <v>1386</v>
      </c>
      <c r="C853" s="652"/>
      <c r="D853" s="658" t="s">
        <v>1387</v>
      </c>
      <c r="E853" s="652"/>
      <c r="F853" s="658" t="s">
        <v>1388</v>
      </c>
      <c r="G853" s="646"/>
    </row>
    <row r="854" spans="2:7" x14ac:dyDescent="0.2">
      <c r="B854" s="657" t="s">
        <v>1337</v>
      </c>
      <c r="C854" s="652"/>
      <c r="D854" s="662" t="s">
        <v>1389</v>
      </c>
      <c r="E854" s="652"/>
      <c r="F854" s="662" t="s">
        <v>1390</v>
      </c>
      <c r="G854" s="646"/>
    </row>
    <row r="855" spans="2:7" x14ac:dyDescent="0.2">
      <c r="B855" s="658" t="s">
        <v>1391</v>
      </c>
      <c r="C855" s="652"/>
      <c r="D855" s="652"/>
      <c r="E855" s="652"/>
      <c r="F855" s="652"/>
      <c r="G855" s="646"/>
    </row>
    <row r="856" spans="2:7" x14ac:dyDescent="0.2">
      <c r="B856" s="662" t="s">
        <v>1392</v>
      </c>
      <c r="C856" s="652"/>
      <c r="D856" s="652"/>
      <c r="E856" s="652"/>
      <c r="F856" s="652"/>
      <c r="G856" s="646"/>
    </row>
    <row r="857" spans="2:7" x14ac:dyDescent="0.2">
      <c r="B857" s="652"/>
      <c r="C857" s="652"/>
      <c r="D857" s="652"/>
      <c r="E857" s="652"/>
      <c r="F857" s="652"/>
      <c r="G857" s="646"/>
    </row>
    <row r="858" spans="2:7" x14ac:dyDescent="0.2">
      <c r="B858" s="646"/>
      <c r="C858" s="677"/>
      <c r="D858" s="646"/>
      <c r="E858" s="677"/>
      <c r="F858" s="646"/>
      <c r="G858" s="677"/>
    </row>
    <row r="859" spans="2:7" x14ac:dyDescent="0.2">
      <c r="B859" s="705" t="s">
        <v>2326</v>
      </c>
      <c r="C859" s="677"/>
      <c r="D859" s="705" t="s">
        <v>2327</v>
      </c>
      <c r="E859" s="677"/>
      <c r="F859" s="705" t="s">
        <v>2328</v>
      </c>
      <c r="G859" s="679"/>
    </row>
    <row r="860" spans="2:7" x14ac:dyDescent="0.2">
      <c r="B860" s="705" t="s">
        <v>1252</v>
      </c>
      <c r="C860" s="646"/>
      <c r="D860" s="705" t="s">
        <v>2233</v>
      </c>
      <c r="E860" s="646"/>
      <c r="F860" s="735" t="s">
        <v>1251</v>
      </c>
      <c r="G860" s="646"/>
    </row>
    <row r="861" spans="2:7" x14ac:dyDescent="0.2">
      <c r="B861" s="656" t="s">
        <v>1393</v>
      </c>
      <c r="C861" s="738"/>
      <c r="D861" s="656" t="s">
        <v>1394</v>
      </c>
      <c r="E861" s="738"/>
      <c r="F861" s="656" t="s">
        <v>1395</v>
      </c>
      <c r="G861" s="646"/>
    </row>
    <row r="862" spans="2:7" x14ac:dyDescent="0.2">
      <c r="B862" s="657" t="s">
        <v>1396</v>
      </c>
      <c r="C862" s="652"/>
      <c r="D862" s="659" t="s">
        <v>1397</v>
      </c>
      <c r="E862" s="652"/>
      <c r="F862" s="657" t="s">
        <v>1398</v>
      </c>
      <c r="G862" s="646"/>
    </row>
    <row r="863" spans="2:7" x14ac:dyDescent="0.2">
      <c r="B863" s="658" t="s">
        <v>1399</v>
      </c>
      <c r="C863" s="652"/>
      <c r="D863" s="658" t="s">
        <v>1400</v>
      </c>
      <c r="E863" s="652"/>
      <c r="F863" s="658" t="s">
        <v>1401</v>
      </c>
      <c r="G863" s="646"/>
    </row>
    <row r="864" spans="2:7" x14ac:dyDescent="0.2">
      <c r="B864" s="657" t="s">
        <v>1402</v>
      </c>
      <c r="C864" s="652"/>
      <c r="D864" s="657" t="s">
        <v>1403</v>
      </c>
      <c r="E864" s="652"/>
      <c r="F864" s="657" t="s">
        <v>1404</v>
      </c>
      <c r="G864" s="646"/>
    </row>
    <row r="865" spans="2:7" x14ac:dyDescent="0.2">
      <c r="B865" s="658" t="s">
        <v>1405</v>
      </c>
      <c r="C865" s="652"/>
      <c r="D865" s="658" t="s">
        <v>1406</v>
      </c>
      <c r="E865" s="652"/>
      <c r="F865" s="658" t="s">
        <v>1407</v>
      </c>
      <c r="G865" s="646"/>
    </row>
    <row r="866" spans="2:7" x14ac:dyDescent="0.2">
      <c r="B866" s="657" t="s">
        <v>1408</v>
      </c>
      <c r="C866" s="652"/>
      <c r="D866" s="657" t="s">
        <v>1409</v>
      </c>
      <c r="E866" s="652"/>
      <c r="F866" s="662" t="s">
        <v>1410</v>
      </c>
      <c r="G866" s="646"/>
    </row>
    <row r="867" spans="2:7" x14ac:dyDescent="0.2">
      <c r="B867" s="658" t="s">
        <v>1411</v>
      </c>
      <c r="C867" s="652"/>
      <c r="D867" s="665" t="s">
        <v>1412</v>
      </c>
      <c r="E867" s="652"/>
      <c r="F867" s="652"/>
      <c r="G867" s="646"/>
    </row>
    <row r="868" spans="2:7" x14ac:dyDescent="0.2">
      <c r="B868" s="662" t="s">
        <v>1413</v>
      </c>
      <c r="C868" s="652"/>
      <c r="D868" s="652"/>
      <c r="E868" s="652"/>
      <c r="F868" s="652"/>
      <c r="G868" s="646"/>
    </row>
    <row r="869" spans="2:7" x14ac:dyDescent="0.2">
      <c r="B869" s="652"/>
      <c r="C869" s="652"/>
      <c r="D869" s="652"/>
      <c r="E869" s="652"/>
      <c r="F869" s="652"/>
      <c r="G869" s="646"/>
    </row>
    <row r="870" spans="2:7" x14ac:dyDescent="0.2">
      <c r="B870" s="646"/>
      <c r="C870" s="677"/>
      <c r="D870" s="646"/>
      <c r="E870" s="677"/>
      <c r="F870" s="646"/>
      <c r="G870" s="677"/>
    </row>
    <row r="871" spans="2:7" x14ac:dyDescent="0.2">
      <c r="B871" s="705" t="s">
        <v>2329</v>
      </c>
      <c r="C871" s="677"/>
      <c r="D871" s="705" t="s">
        <v>2330</v>
      </c>
      <c r="E871" s="677"/>
      <c r="F871" s="705" t="s">
        <v>2331</v>
      </c>
      <c r="G871" s="679"/>
    </row>
    <row r="872" spans="2:7" x14ac:dyDescent="0.2">
      <c r="B872" s="735" t="s">
        <v>1251</v>
      </c>
      <c r="C872" s="646"/>
      <c r="D872" s="705" t="s">
        <v>1288</v>
      </c>
      <c r="E872" s="646"/>
      <c r="F872" s="705" t="s">
        <v>2252</v>
      </c>
      <c r="G872" s="646"/>
    </row>
    <row r="873" spans="2:7" x14ac:dyDescent="0.2">
      <c r="B873" s="656" t="s">
        <v>1414</v>
      </c>
      <c r="C873" s="652"/>
      <c r="D873" s="656" t="s">
        <v>1415</v>
      </c>
      <c r="E873" s="652"/>
      <c r="F873" s="656" t="s">
        <v>1416</v>
      </c>
      <c r="G873" s="646"/>
    </row>
    <row r="874" spans="2:7" x14ac:dyDescent="0.2">
      <c r="B874" s="657" t="s">
        <v>1417</v>
      </c>
      <c r="C874" s="652"/>
      <c r="D874" s="657" t="s">
        <v>1418</v>
      </c>
      <c r="E874" s="652"/>
      <c r="F874" s="657" t="s">
        <v>1419</v>
      </c>
      <c r="G874" s="646"/>
    </row>
    <row r="875" spans="2:7" x14ac:dyDescent="0.2">
      <c r="B875" s="658" t="s">
        <v>1420</v>
      </c>
      <c r="C875" s="652"/>
      <c r="D875" s="658" t="s">
        <v>1421</v>
      </c>
      <c r="E875" s="652"/>
      <c r="F875" s="658" t="s">
        <v>1422</v>
      </c>
      <c r="G875" s="646"/>
    </row>
    <row r="876" spans="2:7" x14ac:dyDescent="0.2">
      <c r="B876" s="657" t="s">
        <v>1423</v>
      </c>
      <c r="C876" s="652"/>
      <c r="D876" s="657" t="s">
        <v>1424</v>
      </c>
      <c r="E876" s="652"/>
      <c r="F876" s="662"/>
      <c r="G876" s="646"/>
    </row>
    <row r="877" spans="2:7" x14ac:dyDescent="0.2">
      <c r="B877" s="658" t="s">
        <v>1425</v>
      </c>
      <c r="C877" s="652"/>
      <c r="D877" s="665" t="s">
        <v>1426</v>
      </c>
      <c r="E877" s="652"/>
      <c r="F877" s="646"/>
    </row>
    <row r="878" spans="2:7" x14ac:dyDescent="0.2">
      <c r="B878" s="662" t="s">
        <v>1427</v>
      </c>
      <c r="C878" s="652"/>
      <c r="D878" s="652"/>
      <c r="E878" s="652"/>
      <c r="F878" s="652"/>
      <c r="G878" s="646"/>
    </row>
    <row r="879" spans="2:7" x14ac:dyDescent="0.2">
      <c r="B879" s="646"/>
      <c r="C879" s="646"/>
      <c r="D879" s="646"/>
      <c r="E879" s="646"/>
      <c r="F879" s="646"/>
      <c r="G879" s="646"/>
    </row>
    <row r="880" spans="2:7" x14ac:dyDescent="0.2">
      <c r="B880" s="646"/>
      <c r="C880" s="686"/>
      <c r="D880" s="646"/>
      <c r="E880" s="686"/>
      <c r="F880" s="646"/>
      <c r="G880" s="686"/>
    </row>
    <row r="881" spans="2:10" ht="15" x14ac:dyDescent="0.2">
      <c r="B881" s="686"/>
      <c r="C881" s="694"/>
      <c r="D881" s="648" t="s">
        <v>1428</v>
      </c>
      <c r="E881" s="694"/>
      <c r="F881" s="686"/>
      <c r="G881" s="686"/>
    </row>
    <row r="882" spans="2:10" ht="15" x14ac:dyDescent="0.2">
      <c r="B882" s="686"/>
      <c r="C882" s="695"/>
      <c r="D882" s="650" t="str">
        <f>COUNTA(B887:F897)+COUNTA(B901:F906)+COUNTA(B910:F915)+COUNTA(B919:B925)&amp;" Total Castings"</f>
        <v>69 Total Castings</v>
      </c>
      <c r="E882" s="695"/>
      <c r="F882" s="686"/>
      <c r="G882" s="686"/>
      <c r="J882" s="645">
        <v>69</v>
      </c>
    </row>
    <row r="883" spans="2:10" x14ac:dyDescent="0.2">
      <c r="B883" s="686"/>
      <c r="C883" s="686"/>
      <c r="D883" s="686"/>
      <c r="E883" s="686"/>
      <c r="F883" s="686"/>
      <c r="G883" s="686"/>
    </row>
    <row r="884" spans="2:10" x14ac:dyDescent="0.2">
      <c r="B884" s="686"/>
      <c r="C884" s="677"/>
      <c r="D884" s="686"/>
      <c r="E884" s="677"/>
      <c r="F884" s="686"/>
      <c r="G884" s="677"/>
    </row>
    <row r="885" spans="2:10" x14ac:dyDescent="0.2">
      <c r="B885" s="705" t="s">
        <v>2323</v>
      </c>
      <c r="C885" s="677"/>
      <c r="D885" s="705" t="s">
        <v>2324</v>
      </c>
      <c r="E885" s="677"/>
      <c r="F885" s="705" t="s">
        <v>2325</v>
      </c>
      <c r="G885" s="677"/>
    </row>
    <row r="886" spans="2:10" x14ac:dyDescent="0.2">
      <c r="B886" s="735" t="s">
        <v>2235</v>
      </c>
      <c r="C886" s="679"/>
      <c r="D886" s="735" t="s">
        <v>2235</v>
      </c>
      <c r="E886" s="679"/>
      <c r="F886" s="735" t="s">
        <v>1251</v>
      </c>
      <c r="G886" s="679"/>
    </row>
    <row r="887" spans="2:10" x14ac:dyDescent="0.2">
      <c r="B887" s="656" t="s">
        <v>1429</v>
      </c>
      <c r="C887" s="652"/>
      <c r="D887" s="656" t="s">
        <v>1430</v>
      </c>
      <c r="E887" s="652"/>
      <c r="F887" s="656" t="s">
        <v>1431</v>
      </c>
      <c r="G887" s="646"/>
    </row>
    <row r="888" spans="2:10" x14ac:dyDescent="0.2">
      <c r="B888" s="657" t="s">
        <v>1432</v>
      </c>
      <c r="C888" s="652"/>
      <c r="D888" s="657" t="s">
        <v>1433</v>
      </c>
      <c r="E888" s="652"/>
      <c r="F888" s="657" t="s">
        <v>1434</v>
      </c>
      <c r="G888" s="646"/>
    </row>
    <row r="889" spans="2:10" x14ac:dyDescent="0.2">
      <c r="B889" s="658" t="s">
        <v>1435</v>
      </c>
      <c r="C889" s="652"/>
      <c r="D889" s="658" t="s">
        <v>1436</v>
      </c>
      <c r="E889" s="652"/>
      <c r="F889" s="658" t="s">
        <v>1437</v>
      </c>
      <c r="G889" s="646"/>
    </row>
    <row r="890" spans="2:10" x14ac:dyDescent="0.2">
      <c r="B890" s="657" t="s">
        <v>2255</v>
      </c>
      <c r="C890" s="652"/>
      <c r="D890" s="657" t="s">
        <v>1438</v>
      </c>
      <c r="E890" s="652"/>
      <c r="F890" s="657" t="s">
        <v>1439</v>
      </c>
      <c r="G890" s="646"/>
    </row>
    <row r="891" spans="2:10" x14ac:dyDescent="0.2">
      <c r="B891" s="658" t="s">
        <v>1440</v>
      </c>
      <c r="C891" s="652"/>
      <c r="D891" s="658" t="s">
        <v>1441</v>
      </c>
      <c r="E891" s="652"/>
      <c r="F891" s="658" t="s">
        <v>1442</v>
      </c>
      <c r="G891" s="646"/>
    </row>
    <row r="892" spans="2:10" x14ac:dyDescent="0.2">
      <c r="B892" s="657" t="s">
        <v>1443</v>
      </c>
      <c r="C892" s="652"/>
      <c r="D892" s="659" t="s">
        <v>2297</v>
      </c>
      <c r="E892" s="652"/>
      <c r="F892" s="662" t="s">
        <v>1445</v>
      </c>
      <c r="G892" s="646"/>
    </row>
    <row r="893" spans="2:10" x14ac:dyDescent="0.2">
      <c r="B893" s="658" t="s">
        <v>1446</v>
      </c>
      <c r="C893" s="652"/>
      <c r="D893" s="658" t="s">
        <v>1444</v>
      </c>
      <c r="E893" s="652"/>
      <c r="F893" s="652"/>
      <c r="G893" s="646"/>
    </row>
    <row r="894" spans="2:10" x14ac:dyDescent="0.2">
      <c r="B894" s="657" t="s">
        <v>1448</v>
      </c>
      <c r="C894" s="652"/>
      <c r="D894" s="657" t="s">
        <v>1447</v>
      </c>
      <c r="E894" s="652"/>
      <c r="F894" s="652"/>
      <c r="G894" s="646"/>
    </row>
    <row r="895" spans="2:10" x14ac:dyDescent="0.2">
      <c r="B895" s="658" t="s">
        <v>1450</v>
      </c>
      <c r="C895" s="652"/>
      <c r="D895" s="658" t="s">
        <v>1449</v>
      </c>
      <c r="E895" s="652"/>
      <c r="F895" s="652"/>
      <c r="G895" s="646"/>
    </row>
    <row r="896" spans="2:10" x14ac:dyDescent="0.2">
      <c r="B896" s="657" t="s">
        <v>1452</v>
      </c>
      <c r="C896" s="652"/>
      <c r="D896" s="657" t="s">
        <v>1451</v>
      </c>
      <c r="E896" s="652"/>
      <c r="F896" s="652"/>
      <c r="G896" s="646"/>
    </row>
    <row r="897" spans="2:7" x14ac:dyDescent="0.2">
      <c r="B897" s="665" t="s">
        <v>1454</v>
      </c>
      <c r="C897" s="652"/>
      <c r="D897" s="665" t="s">
        <v>1453</v>
      </c>
      <c r="E897" s="652"/>
      <c r="F897" s="652"/>
      <c r="G897" s="646"/>
    </row>
    <row r="898" spans="2:7" x14ac:dyDescent="0.2">
      <c r="B898" s="646"/>
      <c r="C898" s="677"/>
      <c r="D898" s="646"/>
      <c r="E898" s="677"/>
      <c r="F898" s="646"/>
      <c r="G898" s="677"/>
    </row>
    <row r="899" spans="2:7" x14ac:dyDescent="0.2">
      <c r="B899" s="705" t="s">
        <v>2326</v>
      </c>
      <c r="C899" s="677"/>
      <c r="D899" s="705" t="s">
        <v>2327</v>
      </c>
      <c r="E899" s="677"/>
      <c r="F899" s="705" t="s">
        <v>2328</v>
      </c>
      <c r="G899" s="679"/>
    </row>
    <row r="900" spans="2:7" x14ac:dyDescent="0.2">
      <c r="B900" s="735" t="s">
        <v>1251</v>
      </c>
      <c r="C900" s="646"/>
      <c r="D900" s="735" t="s">
        <v>1251</v>
      </c>
      <c r="E900" s="646"/>
      <c r="F900" s="735" t="s">
        <v>1251</v>
      </c>
      <c r="G900" s="646"/>
    </row>
    <row r="901" spans="2:7" x14ac:dyDescent="0.2">
      <c r="B901" s="656" t="s">
        <v>1455</v>
      </c>
      <c r="C901" s="652"/>
      <c r="D901" s="656" t="s">
        <v>1456</v>
      </c>
      <c r="E901" s="652"/>
      <c r="F901" s="656" t="s">
        <v>1457</v>
      </c>
      <c r="G901" s="646"/>
    </row>
    <row r="902" spans="2:7" x14ac:dyDescent="0.2">
      <c r="B902" s="657" t="s">
        <v>1458</v>
      </c>
      <c r="C902" s="652"/>
      <c r="D902" s="657" t="s">
        <v>1459</v>
      </c>
      <c r="E902" s="652"/>
      <c r="F902" s="657" t="s">
        <v>1460</v>
      </c>
      <c r="G902" s="646"/>
    </row>
    <row r="903" spans="2:7" x14ac:dyDescent="0.2">
      <c r="B903" s="658" t="s">
        <v>1461</v>
      </c>
      <c r="C903" s="652"/>
      <c r="D903" s="658" t="s">
        <v>1462</v>
      </c>
      <c r="E903" s="652"/>
      <c r="F903" s="658" t="s">
        <v>1463</v>
      </c>
      <c r="G903" s="646"/>
    </row>
    <row r="904" spans="2:7" x14ac:dyDescent="0.2">
      <c r="B904" s="657" t="s">
        <v>1464</v>
      </c>
      <c r="C904" s="652"/>
      <c r="D904" s="657" t="s">
        <v>1465</v>
      </c>
      <c r="E904" s="652"/>
      <c r="F904" s="657" t="s">
        <v>1466</v>
      </c>
      <c r="G904" s="646"/>
    </row>
    <row r="905" spans="2:7" x14ac:dyDescent="0.2">
      <c r="B905" s="658" t="s">
        <v>1467</v>
      </c>
      <c r="C905" s="652"/>
      <c r="D905" s="658" t="s">
        <v>1468</v>
      </c>
      <c r="E905" s="652"/>
      <c r="F905" s="658" t="s">
        <v>1469</v>
      </c>
      <c r="G905" s="646"/>
    </row>
    <row r="906" spans="2:7" x14ac:dyDescent="0.2">
      <c r="B906" s="662" t="s">
        <v>1470</v>
      </c>
      <c r="C906" s="652"/>
      <c r="D906" s="662" t="s">
        <v>1471</v>
      </c>
      <c r="E906" s="652"/>
      <c r="F906" s="662" t="s">
        <v>1472</v>
      </c>
      <c r="G906" s="646"/>
    </row>
    <row r="907" spans="2:7" x14ac:dyDescent="0.2">
      <c r="B907" s="646"/>
      <c r="C907" s="677"/>
      <c r="D907" s="646"/>
      <c r="E907" s="677"/>
      <c r="F907" s="646"/>
      <c r="G907" s="677"/>
    </row>
    <row r="908" spans="2:7" x14ac:dyDescent="0.2">
      <c r="B908" s="705" t="s">
        <v>2329</v>
      </c>
      <c r="C908" s="677"/>
      <c r="D908" s="705" t="s">
        <v>2330</v>
      </c>
      <c r="E908" s="677"/>
      <c r="F908" s="705" t="s">
        <v>2331</v>
      </c>
      <c r="G908" s="679"/>
    </row>
    <row r="909" spans="2:7" x14ac:dyDescent="0.2">
      <c r="B909" s="735" t="s">
        <v>1251</v>
      </c>
      <c r="C909" s="646"/>
      <c r="D909" s="705" t="s">
        <v>1288</v>
      </c>
      <c r="E909" s="646"/>
      <c r="F909" s="705" t="s">
        <v>1288</v>
      </c>
      <c r="G909" s="646"/>
    </row>
    <row r="910" spans="2:7" x14ac:dyDescent="0.2">
      <c r="B910" s="656" t="s">
        <v>2256</v>
      </c>
      <c r="C910" s="652"/>
      <c r="D910" s="656" t="s">
        <v>1473</v>
      </c>
      <c r="E910" s="652"/>
      <c r="F910" s="656" t="s">
        <v>1474</v>
      </c>
      <c r="G910" s="646"/>
    </row>
    <row r="911" spans="2:7" x14ac:dyDescent="0.2">
      <c r="B911" s="657" t="s">
        <v>1475</v>
      </c>
      <c r="C911" s="652"/>
      <c r="D911" s="657" t="s">
        <v>1476</v>
      </c>
      <c r="E911" s="652"/>
      <c r="F911" s="657" t="s">
        <v>1477</v>
      </c>
      <c r="G911" s="646"/>
    </row>
    <row r="912" spans="2:7" x14ac:dyDescent="0.2">
      <c r="B912" s="658" t="s">
        <v>1478</v>
      </c>
      <c r="C912" s="652"/>
      <c r="D912" s="658" t="s">
        <v>1479</v>
      </c>
      <c r="E912" s="652"/>
      <c r="F912" s="658" t="s">
        <v>1480</v>
      </c>
      <c r="G912" s="646"/>
    </row>
    <row r="913" spans="2:7" x14ac:dyDescent="0.2">
      <c r="B913" s="657" t="s">
        <v>1481</v>
      </c>
      <c r="C913" s="652"/>
      <c r="D913" s="657" t="s">
        <v>1482</v>
      </c>
      <c r="E913" s="652"/>
      <c r="F913" s="657" t="s">
        <v>1483</v>
      </c>
      <c r="G913" s="646"/>
    </row>
    <row r="914" spans="2:7" x14ac:dyDescent="0.2">
      <c r="B914" s="658" t="s">
        <v>1484</v>
      </c>
      <c r="C914" s="652"/>
      <c r="D914" s="658" t="s">
        <v>1485</v>
      </c>
      <c r="E914" s="652"/>
      <c r="F914" s="658" t="s">
        <v>1486</v>
      </c>
      <c r="G914" s="646"/>
    </row>
    <row r="915" spans="2:7" x14ac:dyDescent="0.2">
      <c r="B915" s="692" t="s">
        <v>1487</v>
      </c>
      <c r="C915" s="652"/>
      <c r="D915" s="692"/>
      <c r="E915" s="652"/>
      <c r="F915" s="692"/>
      <c r="G915" s="646"/>
    </row>
    <row r="916" spans="2:7" x14ac:dyDescent="0.2">
      <c r="B916" s="646"/>
      <c r="C916" s="677"/>
      <c r="D916" s="646"/>
      <c r="E916" s="677"/>
      <c r="F916" s="646"/>
      <c r="G916" s="677"/>
    </row>
    <row r="917" spans="2:7" x14ac:dyDescent="0.2">
      <c r="B917" s="705" t="s">
        <v>2322</v>
      </c>
      <c r="C917" s="677"/>
      <c r="D917" s="677"/>
      <c r="E917" s="679"/>
      <c r="F917" s="677"/>
      <c r="G917" s="679"/>
    </row>
    <row r="918" spans="2:7" x14ac:dyDescent="0.2">
      <c r="B918" s="705" t="s">
        <v>2233</v>
      </c>
      <c r="C918" s="646"/>
      <c r="D918" s="679"/>
      <c r="E918" s="646"/>
      <c r="F918" s="679"/>
      <c r="G918" s="646"/>
    </row>
    <row r="919" spans="2:7" x14ac:dyDescent="0.2">
      <c r="B919" s="656" t="s">
        <v>1488</v>
      </c>
      <c r="C919" s="652"/>
      <c r="D919" s="652"/>
      <c r="E919" s="652"/>
      <c r="F919" s="652"/>
      <c r="G919" s="646"/>
    </row>
    <row r="920" spans="2:7" x14ac:dyDescent="0.2">
      <c r="B920" s="657" t="s">
        <v>1489</v>
      </c>
      <c r="C920" s="652"/>
      <c r="D920" s="652"/>
      <c r="E920" s="652"/>
      <c r="F920" s="652"/>
      <c r="G920" s="646"/>
    </row>
    <row r="921" spans="2:7" x14ac:dyDescent="0.2">
      <c r="B921" s="661" t="s">
        <v>2298</v>
      </c>
      <c r="C921" s="652"/>
      <c r="D921" s="652"/>
      <c r="E921" s="652"/>
      <c r="F921" s="652"/>
      <c r="G921" s="646"/>
    </row>
    <row r="922" spans="2:7" x14ac:dyDescent="0.2">
      <c r="B922" s="657" t="s">
        <v>1490</v>
      </c>
      <c r="C922" s="652"/>
      <c r="D922" s="652"/>
      <c r="E922" s="652"/>
      <c r="F922" s="652"/>
      <c r="G922" s="646"/>
    </row>
    <row r="923" spans="2:7" x14ac:dyDescent="0.2">
      <c r="B923" s="661" t="s">
        <v>2299</v>
      </c>
      <c r="C923" s="652"/>
      <c r="D923" s="652"/>
      <c r="E923" s="652"/>
      <c r="F923" s="652"/>
      <c r="G923" s="646"/>
    </row>
    <row r="924" spans="2:7" x14ac:dyDescent="0.2">
      <c r="B924" s="657" t="s">
        <v>1491</v>
      </c>
      <c r="C924" s="652"/>
      <c r="D924" s="652"/>
      <c r="E924" s="652"/>
      <c r="F924" s="652"/>
      <c r="G924" s="646"/>
    </row>
    <row r="925" spans="2:7" x14ac:dyDescent="0.2">
      <c r="B925" s="665" t="s">
        <v>1492</v>
      </c>
      <c r="C925" s="652"/>
      <c r="D925" s="652"/>
      <c r="E925" s="652"/>
      <c r="F925" s="652"/>
      <c r="G925" s="646"/>
    </row>
    <row r="926" spans="2:7" x14ac:dyDescent="0.2">
      <c r="B926" s="652"/>
      <c r="C926" s="652"/>
      <c r="D926" s="652"/>
      <c r="E926" s="652"/>
      <c r="F926" s="652"/>
      <c r="G926" s="646"/>
    </row>
    <row r="927" spans="2:7" x14ac:dyDescent="0.2">
      <c r="B927" s="646"/>
      <c r="C927" s="686"/>
      <c r="D927" s="646"/>
      <c r="E927" s="686"/>
      <c r="F927" s="646"/>
      <c r="G927" s="686"/>
    </row>
    <row r="928" spans="2:7" ht="15" x14ac:dyDescent="0.2">
      <c r="B928" s="686"/>
      <c r="C928" s="694"/>
      <c r="D928" s="648" t="s">
        <v>1493</v>
      </c>
      <c r="E928" s="694"/>
      <c r="F928" s="686"/>
      <c r="G928" s="686"/>
    </row>
    <row r="929" spans="2:10" ht="15" x14ac:dyDescent="0.2">
      <c r="B929" s="686"/>
      <c r="C929" s="695"/>
      <c r="D929" s="650" t="str">
        <f>COUNTA(B933:F939)+COUNTA(B943:F947)+COUNTA(B952:F955)&amp;" Total Castings"</f>
        <v>46 Total Castings</v>
      </c>
      <c r="E929" s="695"/>
      <c r="F929" s="686"/>
      <c r="G929" s="686"/>
      <c r="J929" s="645">
        <v>46</v>
      </c>
    </row>
    <row r="930" spans="2:10" x14ac:dyDescent="0.2">
      <c r="B930" s="686"/>
      <c r="C930" s="677"/>
      <c r="D930" s="686"/>
      <c r="E930" s="677"/>
      <c r="F930" s="686"/>
      <c r="G930" s="677"/>
    </row>
    <row r="931" spans="2:10" x14ac:dyDescent="0.2">
      <c r="B931" s="705" t="s">
        <v>2323</v>
      </c>
      <c r="C931" s="677"/>
      <c r="D931" s="705" t="s">
        <v>2324</v>
      </c>
      <c r="E931" s="677"/>
      <c r="F931" s="705" t="s">
        <v>2325</v>
      </c>
      <c r="G931" s="679"/>
    </row>
    <row r="932" spans="2:10" x14ac:dyDescent="0.2">
      <c r="B932" s="735" t="s">
        <v>1251</v>
      </c>
      <c r="C932" s="646"/>
      <c r="D932" s="735" t="s">
        <v>1251</v>
      </c>
      <c r="E932" s="646"/>
      <c r="F932" s="705" t="s">
        <v>203</v>
      </c>
      <c r="G932" s="646"/>
    </row>
    <row r="933" spans="2:10" x14ac:dyDescent="0.2">
      <c r="B933" s="656" t="s">
        <v>1494</v>
      </c>
      <c r="C933" s="652"/>
      <c r="D933" s="656" t="s">
        <v>1495</v>
      </c>
      <c r="E933" s="652"/>
      <c r="F933" s="656" t="s">
        <v>1496</v>
      </c>
      <c r="G933" s="646"/>
    </row>
    <row r="934" spans="2:10" x14ac:dyDescent="0.2">
      <c r="B934" s="657" t="s">
        <v>1497</v>
      </c>
      <c r="C934" s="652"/>
      <c r="D934" s="657" t="s">
        <v>1498</v>
      </c>
      <c r="E934" s="652"/>
      <c r="F934" s="657" t="s">
        <v>1499</v>
      </c>
      <c r="G934" s="646"/>
    </row>
    <row r="935" spans="2:10" x14ac:dyDescent="0.2">
      <c r="B935" s="658" t="s">
        <v>1500</v>
      </c>
      <c r="C935" s="652"/>
      <c r="D935" s="658" t="s">
        <v>1501</v>
      </c>
      <c r="E935" s="652"/>
      <c r="F935" s="658" t="s">
        <v>1502</v>
      </c>
      <c r="G935" s="646"/>
    </row>
    <row r="936" spans="2:10" x14ac:dyDescent="0.2">
      <c r="B936" s="657" t="s">
        <v>1503</v>
      </c>
      <c r="C936" s="652"/>
      <c r="D936" s="657" t="s">
        <v>1504</v>
      </c>
      <c r="E936" s="652"/>
      <c r="F936" s="657" t="s">
        <v>1505</v>
      </c>
      <c r="G936" s="646"/>
    </row>
    <row r="937" spans="2:10" x14ac:dyDescent="0.2">
      <c r="B937" s="658" t="s">
        <v>1506</v>
      </c>
      <c r="C937" s="652"/>
      <c r="D937" s="658" t="s">
        <v>1507</v>
      </c>
      <c r="E937" s="652"/>
      <c r="F937" s="658" t="s">
        <v>1508</v>
      </c>
      <c r="G937" s="646"/>
    </row>
    <row r="938" spans="2:10" x14ac:dyDescent="0.2">
      <c r="B938" s="662" t="s">
        <v>1509</v>
      </c>
      <c r="C938" s="652"/>
      <c r="D938" s="662" t="s">
        <v>1510</v>
      </c>
      <c r="E938" s="652"/>
      <c r="F938" s="657" t="s">
        <v>1511</v>
      </c>
      <c r="G938" s="646"/>
    </row>
    <row r="939" spans="2:10" x14ac:dyDescent="0.2">
      <c r="B939" s="652"/>
      <c r="C939" s="652"/>
      <c r="D939" s="652"/>
      <c r="E939" s="652"/>
      <c r="F939" s="665" t="s">
        <v>1512</v>
      </c>
      <c r="G939" s="646"/>
    </row>
    <row r="940" spans="2:10" x14ac:dyDescent="0.2">
      <c r="B940" s="646"/>
      <c r="C940" s="677"/>
      <c r="D940" s="646"/>
      <c r="E940" s="677"/>
      <c r="F940" s="646"/>
      <c r="G940" s="677"/>
    </row>
    <row r="941" spans="2:10" x14ac:dyDescent="0.2">
      <c r="B941" s="705" t="s">
        <v>2326</v>
      </c>
      <c r="C941" s="677"/>
      <c r="D941" s="705" t="s">
        <v>2327</v>
      </c>
      <c r="E941" s="677"/>
      <c r="F941" s="705" t="s">
        <v>2328</v>
      </c>
      <c r="G941" s="679"/>
    </row>
    <row r="942" spans="2:10" x14ac:dyDescent="0.2">
      <c r="B942" s="705" t="s">
        <v>1288</v>
      </c>
      <c r="C942" s="646"/>
      <c r="D942" s="705" t="s">
        <v>1288</v>
      </c>
      <c r="E942" s="646"/>
      <c r="F942" s="705" t="s">
        <v>1288</v>
      </c>
      <c r="G942" s="646"/>
    </row>
    <row r="943" spans="2:10" x14ac:dyDescent="0.2">
      <c r="B943" s="656" t="s">
        <v>1513</v>
      </c>
      <c r="C943" s="652"/>
      <c r="D943" s="656" t="s">
        <v>1514</v>
      </c>
      <c r="E943" s="652"/>
      <c r="F943" s="656" t="s">
        <v>1515</v>
      </c>
      <c r="G943" s="646"/>
    </row>
    <row r="944" spans="2:10" x14ac:dyDescent="0.2">
      <c r="B944" s="657" t="s">
        <v>1516</v>
      </c>
      <c r="C944" s="652"/>
      <c r="D944" s="657" t="s">
        <v>1517</v>
      </c>
      <c r="E944" s="652"/>
      <c r="F944" s="657" t="s">
        <v>1518</v>
      </c>
      <c r="G944" s="646"/>
    </row>
    <row r="945" spans="2:7" x14ac:dyDescent="0.2">
      <c r="B945" s="658" t="s">
        <v>1519</v>
      </c>
      <c r="C945" s="652"/>
      <c r="D945" s="658" t="s">
        <v>1520</v>
      </c>
      <c r="E945" s="652"/>
      <c r="F945" s="658" t="s">
        <v>1521</v>
      </c>
      <c r="G945" s="646"/>
    </row>
    <row r="946" spans="2:7" x14ac:dyDescent="0.2">
      <c r="B946" s="657" t="s">
        <v>1522</v>
      </c>
      <c r="C946" s="652"/>
      <c r="D946" s="657" t="s">
        <v>1523</v>
      </c>
      <c r="E946" s="652"/>
      <c r="F946" s="657" t="s">
        <v>1524</v>
      </c>
      <c r="G946" s="646"/>
    </row>
    <row r="947" spans="2:7" x14ac:dyDescent="0.2">
      <c r="B947" s="665" t="s">
        <v>1525</v>
      </c>
      <c r="C947" s="652"/>
      <c r="D947" s="665" t="s">
        <v>1526</v>
      </c>
      <c r="E947" s="652"/>
      <c r="F947" s="665" t="s">
        <v>1527</v>
      </c>
      <c r="G947" s="646"/>
    </row>
    <row r="948" spans="2:7" x14ac:dyDescent="0.2">
      <c r="B948" s="652"/>
      <c r="C948" s="652"/>
      <c r="D948" s="652"/>
      <c r="E948" s="652"/>
      <c r="F948" s="652"/>
      <c r="G948" s="646"/>
    </row>
    <row r="949" spans="2:7" x14ac:dyDescent="0.2">
      <c r="B949" s="646"/>
      <c r="C949" s="677"/>
      <c r="D949" s="646"/>
      <c r="E949" s="677"/>
      <c r="F949" s="646"/>
      <c r="G949" s="677"/>
    </row>
    <row r="950" spans="2:7" x14ac:dyDescent="0.2">
      <c r="B950" s="705" t="s">
        <v>2329</v>
      </c>
      <c r="C950" s="677"/>
      <c r="D950" s="705" t="s">
        <v>2330</v>
      </c>
      <c r="E950" s="677"/>
      <c r="F950" s="705" t="s">
        <v>2331</v>
      </c>
      <c r="G950" s="679"/>
    </row>
    <row r="951" spans="2:7" x14ac:dyDescent="0.2">
      <c r="B951" s="705" t="s">
        <v>1316</v>
      </c>
      <c r="C951" s="646"/>
      <c r="D951" s="705" t="s">
        <v>1316</v>
      </c>
      <c r="E951" s="646"/>
      <c r="F951" s="705" t="s">
        <v>1316</v>
      </c>
      <c r="G951" s="646"/>
    </row>
    <row r="952" spans="2:7" x14ac:dyDescent="0.2">
      <c r="B952" s="656" t="s">
        <v>1528</v>
      </c>
      <c r="C952" s="652"/>
      <c r="D952" s="656" t="s">
        <v>1529</v>
      </c>
      <c r="E952" s="652"/>
      <c r="F952" s="656" t="s">
        <v>1530</v>
      </c>
      <c r="G952" s="646"/>
    </row>
    <row r="953" spans="2:7" x14ac:dyDescent="0.2">
      <c r="B953" s="657" t="s">
        <v>1531</v>
      </c>
      <c r="C953" s="652"/>
      <c r="D953" s="657" t="s">
        <v>1532</v>
      </c>
      <c r="E953" s="652"/>
      <c r="F953" s="657" t="s">
        <v>1533</v>
      </c>
      <c r="G953" s="646"/>
    </row>
    <row r="954" spans="2:7" x14ac:dyDescent="0.2">
      <c r="B954" s="658" t="s">
        <v>1149</v>
      </c>
      <c r="C954" s="652"/>
      <c r="D954" s="658" t="s">
        <v>1534</v>
      </c>
      <c r="E954" s="652"/>
      <c r="F954" s="658" t="s">
        <v>1535</v>
      </c>
      <c r="G954" s="646"/>
    </row>
    <row r="955" spans="2:7" x14ac:dyDescent="0.2">
      <c r="B955" s="662" t="s">
        <v>1536</v>
      </c>
      <c r="C955" s="652"/>
      <c r="D955" s="662" t="s">
        <v>1537</v>
      </c>
      <c r="E955" s="652"/>
      <c r="F955" s="662" t="s">
        <v>1538</v>
      </c>
      <c r="G955" s="646"/>
    </row>
    <row r="956" spans="2:7" x14ac:dyDescent="0.2">
      <c r="B956" s="646"/>
      <c r="C956" s="646"/>
      <c r="D956" s="646"/>
      <c r="E956" s="646"/>
      <c r="F956" s="646"/>
      <c r="G956" s="646"/>
    </row>
    <row r="957" spans="2:7" x14ac:dyDescent="0.2">
      <c r="B957" s="646"/>
      <c r="C957" s="646"/>
      <c r="D957" s="646"/>
      <c r="E957" s="646"/>
      <c r="F957" s="646"/>
      <c r="G957" s="646"/>
    </row>
    <row r="958" spans="2:7" x14ac:dyDescent="0.2">
      <c r="B958" s="705" t="s">
        <v>2322</v>
      </c>
      <c r="C958" s="646"/>
      <c r="D958" s="646"/>
      <c r="E958" s="646"/>
      <c r="F958" s="646"/>
      <c r="G958" s="646"/>
    </row>
    <row r="959" spans="2:7" x14ac:dyDescent="0.2">
      <c r="B959" s="705" t="s">
        <v>1316</v>
      </c>
      <c r="C959" s="646"/>
      <c r="D959" s="646"/>
      <c r="E959" s="646"/>
      <c r="F959" s="646"/>
      <c r="G959" s="646"/>
    </row>
    <row r="960" spans="2:7" x14ac:dyDescent="0.2">
      <c r="B960" s="656" t="s">
        <v>1530</v>
      </c>
      <c r="C960" s="646"/>
      <c r="D960" s="646"/>
      <c r="E960" s="646"/>
      <c r="F960" s="646"/>
      <c r="G960" s="646"/>
    </row>
    <row r="961" spans="2:10" x14ac:dyDescent="0.2">
      <c r="B961" s="657" t="s">
        <v>1533</v>
      </c>
      <c r="C961" s="646"/>
      <c r="D961" s="646"/>
      <c r="E961" s="646"/>
      <c r="F961" s="646"/>
      <c r="G961" s="646"/>
    </row>
    <row r="962" spans="2:10" x14ac:dyDescent="0.2">
      <c r="B962" s="658" t="s">
        <v>2298</v>
      </c>
      <c r="C962" s="646"/>
      <c r="D962" s="646"/>
      <c r="E962" s="646"/>
      <c r="F962" s="646"/>
      <c r="G962" s="646"/>
    </row>
    <row r="963" spans="2:10" x14ac:dyDescent="0.2">
      <c r="B963" s="657" t="s">
        <v>1490</v>
      </c>
      <c r="C963" s="646"/>
      <c r="D963" s="646"/>
      <c r="E963" s="646"/>
      <c r="F963" s="646"/>
      <c r="G963" s="646"/>
    </row>
    <row r="964" spans="2:10" x14ac:dyDescent="0.2">
      <c r="B964" s="684"/>
      <c r="C964" s="646"/>
      <c r="D964" s="646"/>
      <c r="E964" s="646"/>
      <c r="F964" s="646"/>
      <c r="G964" s="646"/>
    </row>
    <row r="965" spans="2:10" x14ac:dyDescent="0.2">
      <c r="B965" s="646"/>
      <c r="C965" s="686"/>
      <c r="D965" s="646"/>
      <c r="E965" s="686"/>
      <c r="F965" s="646"/>
      <c r="G965" s="686"/>
    </row>
    <row r="966" spans="2:10" ht="15" x14ac:dyDescent="0.2">
      <c r="B966" s="646"/>
      <c r="C966" s="694"/>
      <c r="D966" s="648" t="s">
        <v>1539</v>
      </c>
      <c r="E966" s="694"/>
      <c r="F966" s="686"/>
      <c r="G966" s="686"/>
    </row>
    <row r="967" spans="2:10" ht="15" x14ac:dyDescent="0.2">
      <c r="B967" s="646"/>
      <c r="C967" s="695"/>
      <c r="D967" s="650" t="str">
        <f>COUNTA(B971:F991)+COUNTA(B996:F1007)+COUNTA(B1013:F1023)+COUNTA(B1027:B1033)&amp;" Total Castings"</f>
        <v>117 Total Castings</v>
      </c>
      <c r="E967" s="695"/>
      <c r="F967" s="686"/>
      <c r="G967" s="677"/>
      <c r="J967" s="645">
        <v>117</v>
      </c>
    </row>
    <row r="968" spans="2:10" ht="15" x14ac:dyDescent="0.2">
      <c r="B968" s="686"/>
      <c r="C968" s="697"/>
      <c r="D968" s="739"/>
      <c r="E968" s="697"/>
      <c r="F968" s="686"/>
      <c r="G968" s="677"/>
    </row>
    <row r="969" spans="2:10" x14ac:dyDescent="0.2">
      <c r="B969" s="705" t="s">
        <v>2323</v>
      </c>
      <c r="C969" s="677"/>
      <c r="D969" s="705" t="s">
        <v>2324</v>
      </c>
      <c r="E969" s="677"/>
      <c r="F969" s="705" t="s">
        <v>2325</v>
      </c>
      <c r="G969" s="677"/>
    </row>
    <row r="970" spans="2:10" x14ac:dyDescent="0.2">
      <c r="B970" s="705" t="s">
        <v>2320</v>
      </c>
      <c r="C970" s="646"/>
      <c r="D970" s="705" t="s">
        <v>2321</v>
      </c>
      <c r="E970" s="646"/>
      <c r="F970" s="705" t="s">
        <v>2241</v>
      </c>
      <c r="G970" s="646"/>
    </row>
    <row r="971" spans="2:10" x14ac:dyDescent="0.2">
      <c r="B971" s="656" t="s">
        <v>1540</v>
      </c>
      <c r="C971" s="652"/>
      <c r="D971" s="656" t="s">
        <v>1541</v>
      </c>
      <c r="E971" s="652"/>
      <c r="F971" s="656" t="s">
        <v>1542</v>
      </c>
      <c r="G971" s="646"/>
    </row>
    <row r="972" spans="2:10" x14ac:dyDescent="0.2">
      <c r="B972" s="657" t="s">
        <v>1543</v>
      </c>
      <c r="C972" s="652"/>
      <c r="D972" s="657" t="s">
        <v>1544</v>
      </c>
      <c r="E972" s="652"/>
      <c r="F972" s="657" t="s">
        <v>1545</v>
      </c>
      <c r="G972" s="646"/>
    </row>
    <row r="973" spans="2:10" x14ac:dyDescent="0.2">
      <c r="B973" s="658" t="s">
        <v>1546</v>
      </c>
      <c r="C973" s="652"/>
      <c r="D973" s="658" t="s">
        <v>1547</v>
      </c>
      <c r="E973" s="652"/>
      <c r="F973" s="658" t="s">
        <v>1548</v>
      </c>
      <c r="G973" s="646"/>
    </row>
    <row r="974" spans="2:10" x14ac:dyDescent="0.2">
      <c r="B974" s="657" t="s">
        <v>1549</v>
      </c>
      <c r="C974" s="652"/>
      <c r="D974" s="657" t="s">
        <v>1550</v>
      </c>
      <c r="E974" s="652"/>
      <c r="F974" s="657" t="s">
        <v>1551</v>
      </c>
      <c r="G974" s="646"/>
    </row>
    <row r="975" spans="2:10" x14ac:dyDescent="0.2">
      <c r="B975" s="658" t="s">
        <v>1552</v>
      </c>
      <c r="C975" s="652"/>
      <c r="D975" s="658" t="s">
        <v>1553</v>
      </c>
      <c r="E975" s="652"/>
      <c r="F975" s="658" t="s">
        <v>1554</v>
      </c>
      <c r="G975" s="646"/>
    </row>
    <row r="976" spans="2:10" x14ac:dyDescent="0.2">
      <c r="B976" s="657" t="s">
        <v>1555</v>
      </c>
      <c r="C976" s="652"/>
      <c r="D976" s="657" t="s">
        <v>1556</v>
      </c>
      <c r="E976" s="652"/>
      <c r="F976" s="657" t="s">
        <v>1557</v>
      </c>
      <c r="G976" s="646"/>
    </row>
    <row r="977" spans="2:7" x14ac:dyDescent="0.2">
      <c r="B977" s="658" t="s">
        <v>1558</v>
      </c>
      <c r="C977" s="652"/>
      <c r="D977" s="658" t="s">
        <v>1559</v>
      </c>
      <c r="E977" s="652"/>
      <c r="F977" s="658" t="s">
        <v>1560</v>
      </c>
      <c r="G977" s="646"/>
    </row>
    <row r="978" spans="2:7" x14ac:dyDescent="0.2">
      <c r="B978" s="657" t="s">
        <v>1561</v>
      </c>
      <c r="C978" s="652"/>
      <c r="D978" s="657" t="s">
        <v>1562</v>
      </c>
      <c r="E978" s="652"/>
      <c r="F978" s="657" t="s">
        <v>1563</v>
      </c>
      <c r="G978" s="646"/>
    </row>
    <row r="979" spans="2:7" x14ac:dyDescent="0.2">
      <c r="B979" s="658" t="s">
        <v>1564</v>
      </c>
      <c r="C979" s="652"/>
      <c r="D979" s="658" t="s">
        <v>1565</v>
      </c>
      <c r="E979" s="652"/>
      <c r="F979" s="658" t="s">
        <v>1566</v>
      </c>
      <c r="G979" s="646"/>
    </row>
    <row r="980" spans="2:7" x14ac:dyDescent="0.2">
      <c r="B980" s="657" t="s">
        <v>1567</v>
      </c>
      <c r="C980" s="652"/>
      <c r="D980" s="657" t="s">
        <v>1568</v>
      </c>
      <c r="E980" s="652"/>
      <c r="F980" s="657" t="s">
        <v>1569</v>
      </c>
      <c r="G980" s="646"/>
    </row>
    <row r="981" spans="2:7" x14ac:dyDescent="0.2">
      <c r="B981" s="658" t="s">
        <v>1570</v>
      </c>
      <c r="C981" s="652"/>
      <c r="D981" s="658" t="s">
        <v>1571</v>
      </c>
      <c r="E981" s="652"/>
      <c r="F981" s="658" t="s">
        <v>1572</v>
      </c>
      <c r="G981" s="646"/>
    </row>
    <row r="982" spans="2:7" x14ac:dyDescent="0.2">
      <c r="B982" s="657" t="s">
        <v>1573</v>
      </c>
      <c r="C982" s="652"/>
      <c r="D982" s="657" t="s">
        <v>1574</v>
      </c>
      <c r="E982" s="652"/>
      <c r="F982" s="662" t="s">
        <v>1575</v>
      </c>
      <c r="G982" s="646"/>
    </row>
    <row r="983" spans="2:7" x14ac:dyDescent="0.2">
      <c r="B983" s="658" t="s">
        <v>1576</v>
      </c>
      <c r="C983" s="652"/>
      <c r="D983" s="658" t="s">
        <v>1577</v>
      </c>
      <c r="E983" s="652"/>
      <c r="F983" s="652"/>
      <c r="G983" s="646"/>
    </row>
    <row r="984" spans="2:7" x14ac:dyDescent="0.2">
      <c r="B984" s="657" t="s">
        <v>1578</v>
      </c>
      <c r="C984" s="652"/>
      <c r="D984" s="657" t="s">
        <v>1579</v>
      </c>
      <c r="E984" s="652"/>
      <c r="F984" s="652"/>
      <c r="G984" s="646"/>
    </row>
    <row r="985" spans="2:7" x14ac:dyDescent="0.2">
      <c r="B985" s="658" t="s">
        <v>1580</v>
      </c>
      <c r="C985" s="652"/>
      <c r="D985" s="665" t="s">
        <v>1581</v>
      </c>
      <c r="E985" s="652"/>
      <c r="F985" s="652"/>
      <c r="G985" s="646"/>
    </row>
    <row r="986" spans="2:7" x14ac:dyDescent="0.2">
      <c r="B986" s="657" t="s">
        <v>1582</v>
      </c>
      <c r="C986" s="652"/>
      <c r="D986" s="652"/>
      <c r="E986" s="652"/>
      <c r="F986" s="652"/>
      <c r="G986" s="646"/>
    </row>
    <row r="987" spans="2:7" x14ac:dyDescent="0.2">
      <c r="B987" s="658" t="s">
        <v>1583</v>
      </c>
      <c r="C987" s="652"/>
      <c r="D987" s="652"/>
      <c r="E987" s="652"/>
      <c r="F987" s="652"/>
      <c r="G987" s="646"/>
    </row>
    <row r="988" spans="2:7" x14ac:dyDescent="0.2">
      <c r="B988" s="657" t="s">
        <v>1584</v>
      </c>
      <c r="C988" s="652"/>
      <c r="D988" s="652"/>
      <c r="E988" s="652"/>
      <c r="F988" s="652"/>
      <c r="G988" s="646"/>
    </row>
    <row r="989" spans="2:7" x14ac:dyDescent="0.2">
      <c r="B989" s="658" t="s">
        <v>1585</v>
      </c>
      <c r="C989" s="652"/>
      <c r="D989" s="652"/>
      <c r="E989" s="652"/>
      <c r="F989" s="652"/>
      <c r="G989" s="646"/>
    </row>
    <row r="990" spans="2:7" x14ac:dyDescent="0.2">
      <c r="B990" s="657" t="s">
        <v>1586</v>
      </c>
      <c r="C990" s="652"/>
      <c r="D990" s="652"/>
      <c r="E990" s="652"/>
      <c r="F990" s="652"/>
      <c r="G990" s="646"/>
    </row>
    <row r="991" spans="2:7" x14ac:dyDescent="0.2">
      <c r="B991" s="665" t="s">
        <v>1587</v>
      </c>
      <c r="C991" s="652"/>
      <c r="D991" s="652"/>
      <c r="E991" s="652"/>
      <c r="F991" s="652"/>
      <c r="G991" s="646"/>
    </row>
    <row r="992" spans="2:7" x14ac:dyDescent="0.2">
      <c r="B992" s="646"/>
      <c r="C992" s="646"/>
      <c r="D992" s="646"/>
      <c r="E992" s="646"/>
      <c r="F992" s="646"/>
      <c r="G992" s="646"/>
    </row>
    <row r="993" spans="2:7" x14ac:dyDescent="0.2">
      <c r="B993" s="646"/>
      <c r="C993" s="677"/>
      <c r="D993" s="646"/>
      <c r="E993" s="677"/>
      <c r="F993" s="646"/>
      <c r="G993" s="677"/>
    </row>
    <row r="994" spans="2:7" x14ac:dyDescent="0.2">
      <c r="B994" s="705" t="s">
        <v>2326</v>
      </c>
      <c r="C994" s="646"/>
      <c r="D994" s="705" t="s">
        <v>2327</v>
      </c>
      <c r="E994" s="646"/>
      <c r="F994" s="705" t="s">
        <v>2328</v>
      </c>
      <c r="G994" s="646"/>
    </row>
    <row r="995" spans="2:7" x14ac:dyDescent="0.2">
      <c r="B995" s="705" t="s">
        <v>2241</v>
      </c>
      <c r="C995" s="646"/>
      <c r="D995" s="705" t="s">
        <v>2241</v>
      </c>
      <c r="E995" s="646"/>
      <c r="F995" s="705" t="s">
        <v>2234</v>
      </c>
      <c r="G995" s="646"/>
    </row>
    <row r="996" spans="2:7" x14ac:dyDescent="0.2">
      <c r="B996" s="656" t="s">
        <v>1588</v>
      </c>
      <c r="C996" s="652"/>
      <c r="D996" s="656" t="s">
        <v>1589</v>
      </c>
      <c r="E996" s="652"/>
      <c r="F996" s="656" t="s">
        <v>1590</v>
      </c>
      <c r="G996" s="646"/>
    </row>
    <row r="997" spans="2:7" x14ac:dyDescent="0.2">
      <c r="B997" s="657" t="s">
        <v>1591</v>
      </c>
      <c r="C997" s="652"/>
      <c r="D997" s="657" t="s">
        <v>1592</v>
      </c>
      <c r="E997" s="652"/>
      <c r="F997" s="657" t="s">
        <v>1593</v>
      </c>
      <c r="G997" s="646"/>
    </row>
    <row r="998" spans="2:7" x14ac:dyDescent="0.2">
      <c r="B998" s="658" t="s">
        <v>1594</v>
      </c>
      <c r="C998" s="652"/>
      <c r="D998" s="658" t="s">
        <v>1595</v>
      </c>
      <c r="E998" s="652"/>
      <c r="F998" s="658" t="s">
        <v>1596</v>
      </c>
      <c r="G998" s="646"/>
    </row>
    <row r="999" spans="2:7" x14ac:dyDescent="0.2">
      <c r="B999" s="657" t="s">
        <v>1597</v>
      </c>
      <c r="C999" s="652"/>
      <c r="D999" s="657" t="s">
        <v>1598</v>
      </c>
      <c r="E999" s="652"/>
      <c r="F999" s="657" t="s">
        <v>1599</v>
      </c>
      <c r="G999" s="646"/>
    </row>
    <row r="1000" spans="2:7" x14ac:dyDescent="0.2">
      <c r="B1000" s="658" t="s">
        <v>1600</v>
      </c>
      <c r="C1000" s="652"/>
      <c r="D1000" s="658" t="s">
        <v>1601</v>
      </c>
      <c r="E1000" s="652"/>
      <c r="F1000" s="658" t="s">
        <v>1602</v>
      </c>
      <c r="G1000" s="646"/>
    </row>
    <row r="1001" spans="2:7" x14ac:dyDescent="0.2">
      <c r="B1001" s="657" t="s">
        <v>1603</v>
      </c>
      <c r="C1001" s="652"/>
      <c r="D1001" s="657" t="s">
        <v>1604</v>
      </c>
      <c r="E1001" s="652"/>
      <c r="F1001" s="657" t="s">
        <v>1605</v>
      </c>
      <c r="G1001" s="646"/>
    </row>
    <row r="1002" spans="2:7" x14ac:dyDescent="0.2">
      <c r="B1002" s="658" t="s">
        <v>1606</v>
      </c>
      <c r="C1002" s="652"/>
      <c r="D1002" s="658" t="s">
        <v>1607</v>
      </c>
      <c r="E1002" s="652"/>
      <c r="F1002" s="658" t="s">
        <v>1608</v>
      </c>
      <c r="G1002" s="646"/>
    </row>
    <row r="1003" spans="2:7" x14ac:dyDescent="0.2">
      <c r="B1003" s="657" t="s">
        <v>1609</v>
      </c>
      <c r="C1003" s="652"/>
      <c r="D1003" s="657" t="s">
        <v>1610</v>
      </c>
      <c r="E1003" s="652"/>
      <c r="F1003" s="657" t="s">
        <v>1611</v>
      </c>
      <c r="G1003" s="646"/>
    </row>
    <row r="1004" spans="2:7" x14ac:dyDescent="0.2">
      <c r="B1004" s="658" t="s">
        <v>1612</v>
      </c>
      <c r="C1004" s="652"/>
      <c r="D1004" s="658" t="s">
        <v>1613</v>
      </c>
      <c r="E1004" s="652"/>
      <c r="F1004" s="658" t="s">
        <v>1614</v>
      </c>
      <c r="G1004" s="646"/>
    </row>
    <row r="1005" spans="2:7" x14ac:dyDescent="0.2">
      <c r="B1005" s="657" t="s">
        <v>1615</v>
      </c>
      <c r="C1005" s="652"/>
      <c r="D1005" s="657" t="s">
        <v>1616</v>
      </c>
      <c r="E1005" s="652"/>
      <c r="F1005" s="662" t="s">
        <v>1617</v>
      </c>
      <c r="G1005" s="646"/>
    </row>
    <row r="1006" spans="2:7" x14ac:dyDescent="0.2">
      <c r="B1006" s="658" t="s">
        <v>1618</v>
      </c>
      <c r="C1006" s="652"/>
      <c r="D1006" s="658" t="s">
        <v>1619</v>
      </c>
      <c r="E1006" s="652"/>
      <c r="F1006" s="652"/>
      <c r="G1006" s="646"/>
    </row>
    <row r="1007" spans="2:7" x14ac:dyDescent="0.2">
      <c r="B1007" s="662" t="s">
        <v>1620</v>
      </c>
      <c r="C1007" s="652"/>
      <c r="D1007" s="662" t="s">
        <v>1621</v>
      </c>
      <c r="E1007" s="652"/>
      <c r="F1007" s="652"/>
      <c r="G1007" s="646"/>
    </row>
    <row r="1008" spans="2:7" x14ac:dyDescent="0.2">
      <c r="B1008" s="652"/>
      <c r="C1008" s="652"/>
      <c r="D1008" s="652"/>
      <c r="E1008" s="652"/>
      <c r="F1008" s="652"/>
      <c r="G1008" s="646"/>
    </row>
    <row r="1009" spans="2:7" x14ac:dyDescent="0.2">
      <c r="B1009" s="652"/>
      <c r="C1009" s="652"/>
      <c r="D1009" s="652"/>
      <c r="E1009" s="652"/>
      <c r="F1009" s="652"/>
      <c r="G1009" s="646"/>
    </row>
    <row r="1010" spans="2:7" x14ac:dyDescent="0.2">
      <c r="B1010" s="646"/>
      <c r="C1010" s="677"/>
      <c r="D1010" s="646"/>
      <c r="E1010" s="677"/>
      <c r="F1010" s="646"/>
      <c r="G1010" s="677"/>
    </row>
    <row r="1011" spans="2:7" x14ac:dyDescent="0.2">
      <c r="B1011" s="705" t="s">
        <v>2329</v>
      </c>
      <c r="C1011" s="677"/>
      <c r="D1011" s="705" t="s">
        <v>2330</v>
      </c>
      <c r="E1011" s="677"/>
      <c r="F1011" s="705" t="s">
        <v>2331</v>
      </c>
      <c r="G1011" s="679"/>
    </row>
    <row r="1012" spans="2:7" x14ac:dyDescent="0.2">
      <c r="B1012" s="705" t="s">
        <v>2234</v>
      </c>
      <c r="C1012" s="646"/>
      <c r="D1012" s="705" t="s">
        <v>2235</v>
      </c>
      <c r="E1012" s="646"/>
      <c r="F1012" s="705" t="s">
        <v>2233</v>
      </c>
      <c r="G1012" s="646"/>
    </row>
    <row r="1013" spans="2:7" x14ac:dyDescent="0.2">
      <c r="B1013" s="656" t="s">
        <v>1622</v>
      </c>
      <c r="C1013" s="652"/>
      <c r="D1013" s="656" t="s">
        <v>2546</v>
      </c>
      <c r="E1013" s="652"/>
      <c r="F1013" s="656" t="s">
        <v>1623</v>
      </c>
      <c r="G1013" s="646"/>
    </row>
    <row r="1014" spans="2:7" x14ac:dyDescent="0.2">
      <c r="B1014" s="657" t="s">
        <v>1624</v>
      </c>
      <c r="C1014" s="652"/>
      <c r="D1014" s="657" t="s">
        <v>1625</v>
      </c>
      <c r="E1014" s="652"/>
      <c r="F1014" s="657" t="s">
        <v>1626</v>
      </c>
      <c r="G1014" s="646"/>
    </row>
    <row r="1015" spans="2:7" x14ac:dyDescent="0.2">
      <c r="B1015" s="658" t="s">
        <v>1627</v>
      </c>
      <c r="C1015" s="652"/>
      <c r="D1015" s="658" t="s">
        <v>1628</v>
      </c>
      <c r="E1015" s="652"/>
      <c r="F1015" s="658" t="s">
        <v>1629</v>
      </c>
      <c r="G1015" s="646"/>
    </row>
    <row r="1016" spans="2:7" x14ac:dyDescent="0.2">
      <c r="B1016" s="657" t="s">
        <v>1630</v>
      </c>
      <c r="C1016" s="652"/>
      <c r="D1016" s="659" t="s">
        <v>2300</v>
      </c>
      <c r="E1016" s="652"/>
      <c r="F1016" s="657" t="s">
        <v>1632</v>
      </c>
      <c r="G1016" s="646"/>
    </row>
    <row r="1017" spans="2:7" x14ac:dyDescent="0.2">
      <c r="B1017" s="658" t="s">
        <v>1633</v>
      </c>
      <c r="C1017" s="652"/>
      <c r="D1017" s="658" t="s">
        <v>1631</v>
      </c>
      <c r="E1017" s="652"/>
      <c r="F1017" s="658" t="s">
        <v>1635</v>
      </c>
      <c r="G1017" s="646"/>
    </row>
    <row r="1018" spans="2:7" x14ac:dyDescent="0.2">
      <c r="B1018" s="657" t="s">
        <v>1636</v>
      </c>
      <c r="C1018" s="652"/>
      <c r="D1018" s="657" t="s">
        <v>1634</v>
      </c>
      <c r="E1018" s="652"/>
      <c r="F1018" s="657" t="s">
        <v>1638</v>
      </c>
      <c r="G1018" s="646"/>
    </row>
    <row r="1019" spans="2:7" x14ac:dyDescent="0.2">
      <c r="B1019" s="658" t="s">
        <v>1639</v>
      </c>
      <c r="C1019" s="652"/>
      <c r="D1019" s="658" t="s">
        <v>1637</v>
      </c>
      <c r="E1019" s="652"/>
      <c r="F1019" s="665" t="s">
        <v>1641</v>
      </c>
      <c r="G1019" s="646"/>
    </row>
    <row r="1020" spans="2:7" x14ac:dyDescent="0.2">
      <c r="B1020" s="657" t="s">
        <v>1642</v>
      </c>
      <c r="C1020" s="652"/>
      <c r="D1020" s="657" t="s">
        <v>1640</v>
      </c>
      <c r="E1020" s="652"/>
      <c r="F1020" s="652"/>
      <c r="G1020" s="646"/>
    </row>
    <row r="1021" spans="2:7" x14ac:dyDescent="0.2">
      <c r="B1021" s="658" t="s">
        <v>1644</v>
      </c>
      <c r="C1021" s="652"/>
      <c r="D1021" s="658" t="s">
        <v>1643</v>
      </c>
      <c r="E1021" s="652"/>
      <c r="F1021" s="652"/>
      <c r="G1021" s="646"/>
    </row>
    <row r="1022" spans="2:7" x14ac:dyDescent="0.2">
      <c r="B1022" s="657" t="s">
        <v>1646</v>
      </c>
      <c r="C1022" s="652"/>
      <c r="D1022" s="657" t="s">
        <v>1645</v>
      </c>
      <c r="E1022" s="652"/>
      <c r="F1022" s="652"/>
      <c r="G1022" s="646"/>
    </row>
    <row r="1023" spans="2:7" x14ac:dyDescent="0.2">
      <c r="B1023" s="665"/>
      <c r="C1023" s="652"/>
      <c r="D1023" s="665" t="s">
        <v>1647</v>
      </c>
      <c r="E1023" s="652"/>
      <c r="F1023" s="652"/>
      <c r="G1023" s="646"/>
    </row>
    <row r="1024" spans="2:7" x14ac:dyDescent="0.2">
      <c r="B1024" s="646"/>
      <c r="C1024" s="677"/>
      <c r="D1024" s="646"/>
      <c r="E1024" s="677"/>
      <c r="F1024" s="646"/>
      <c r="G1024" s="677"/>
    </row>
    <row r="1025" spans="2:10" x14ac:dyDescent="0.2">
      <c r="B1025" s="705" t="s">
        <v>2322</v>
      </c>
      <c r="C1025" s="679"/>
      <c r="D1025" s="677"/>
      <c r="E1025" s="679"/>
      <c r="F1025" s="677"/>
      <c r="G1025" s="679"/>
    </row>
    <row r="1026" spans="2:10" x14ac:dyDescent="0.2">
      <c r="B1026" s="705" t="s">
        <v>2233</v>
      </c>
      <c r="C1026" s="646"/>
      <c r="D1026" s="679"/>
      <c r="E1026" s="646"/>
      <c r="F1026" s="679"/>
      <c r="G1026" s="646"/>
    </row>
    <row r="1027" spans="2:10" x14ac:dyDescent="0.2">
      <c r="B1027" s="656" t="s">
        <v>1648</v>
      </c>
      <c r="C1027" s="646"/>
      <c r="D1027" s="652"/>
      <c r="E1027" s="652"/>
      <c r="F1027" s="652"/>
      <c r="G1027" s="646"/>
    </row>
    <row r="1028" spans="2:10" x14ac:dyDescent="0.2">
      <c r="B1028" s="657" t="s">
        <v>1649</v>
      </c>
      <c r="C1028" s="646"/>
      <c r="D1028" s="652"/>
      <c r="E1028" s="652"/>
      <c r="F1028" s="652"/>
      <c r="G1028" s="646"/>
    </row>
    <row r="1029" spans="2:10" x14ac:dyDescent="0.2">
      <c r="B1029" s="658" t="s">
        <v>1650</v>
      </c>
      <c r="C1029" s="646"/>
      <c r="D1029" s="652"/>
      <c r="E1029" s="652"/>
      <c r="F1029" s="652"/>
      <c r="G1029" s="646"/>
    </row>
    <row r="1030" spans="2:10" x14ac:dyDescent="0.2">
      <c r="B1030" s="657" t="s">
        <v>1651</v>
      </c>
      <c r="C1030" s="646"/>
      <c r="D1030" s="652"/>
      <c r="E1030" s="652"/>
      <c r="F1030" s="652"/>
      <c r="G1030" s="646"/>
    </row>
    <row r="1031" spans="2:10" x14ac:dyDescent="0.2">
      <c r="B1031" s="658" t="s">
        <v>1652</v>
      </c>
      <c r="C1031" s="646"/>
      <c r="D1031" s="652"/>
      <c r="E1031" s="652"/>
      <c r="F1031" s="652"/>
      <c r="G1031" s="646"/>
    </row>
    <row r="1032" spans="2:10" x14ac:dyDescent="0.2">
      <c r="B1032" s="657" t="s">
        <v>1653</v>
      </c>
      <c r="C1032" s="646"/>
      <c r="D1032" s="652"/>
      <c r="E1032" s="652"/>
      <c r="F1032" s="652"/>
      <c r="G1032" s="646"/>
    </row>
    <row r="1033" spans="2:10" x14ac:dyDescent="0.2">
      <c r="B1033" s="665" t="s">
        <v>1654</v>
      </c>
      <c r="C1033" s="646"/>
      <c r="D1033" s="652"/>
      <c r="E1033" s="652"/>
      <c r="F1033" s="652"/>
      <c r="G1033" s="646"/>
    </row>
    <row r="1034" spans="2:10" x14ac:dyDescent="0.2">
      <c r="B1034" s="646"/>
      <c r="C1034" s="646"/>
      <c r="D1034" s="646"/>
      <c r="E1034" s="646"/>
      <c r="F1034" s="646"/>
      <c r="G1034" s="646"/>
    </row>
    <row r="1035" spans="2:10" x14ac:dyDescent="0.2">
      <c r="B1035" s="646"/>
      <c r="C1035" s="646"/>
      <c r="D1035" s="646"/>
      <c r="E1035" s="646"/>
      <c r="F1035" s="646"/>
      <c r="G1035" s="646"/>
    </row>
    <row r="1036" spans="2:10" ht="15" x14ac:dyDescent="0.2">
      <c r="B1036" s="686"/>
      <c r="C1036" s="694"/>
      <c r="D1036" s="648" t="s">
        <v>1655</v>
      </c>
      <c r="E1036" s="694"/>
      <c r="F1036" s="686"/>
      <c r="G1036" s="686"/>
    </row>
    <row r="1037" spans="2:10" ht="15" x14ac:dyDescent="0.2">
      <c r="B1037" s="686"/>
      <c r="C1037" s="695"/>
      <c r="D1037" s="650" t="str">
        <f>COUNTA(B1042:F1054)+COUNTA(B1059:F1071)+COUNTA(B1076:F1084)&amp;" Total Castings"</f>
        <v>95 Total Castings</v>
      </c>
      <c r="E1037" s="695"/>
      <c r="F1037" s="686"/>
      <c r="G1037" s="686"/>
      <c r="J1037" s="645">
        <v>95</v>
      </c>
    </row>
    <row r="1038" spans="2:10" x14ac:dyDescent="0.2">
      <c r="B1038" s="686"/>
      <c r="C1038" s="686"/>
      <c r="D1038" s="686"/>
      <c r="E1038" s="686"/>
      <c r="F1038" s="686"/>
      <c r="G1038" s="686"/>
    </row>
    <row r="1039" spans="2:10" x14ac:dyDescent="0.2">
      <c r="B1039" s="686"/>
      <c r="C1039" s="677"/>
      <c r="D1039" s="686"/>
      <c r="E1039" s="677"/>
      <c r="F1039" s="686"/>
      <c r="G1039" s="677"/>
    </row>
    <row r="1040" spans="2:10" x14ac:dyDescent="0.2">
      <c r="B1040" s="705" t="s">
        <v>2323</v>
      </c>
      <c r="C1040" s="677"/>
      <c r="D1040" s="705" t="s">
        <v>2324</v>
      </c>
      <c r="E1040" s="677"/>
      <c r="F1040" s="705" t="s">
        <v>2325</v>
      </c>
      <c r="G1040" s="677"/>
    </row>
    <row r="1041" spans="2:7" x14ac:dyDescent="0.2">
      <c r="B1041" s="705" t="s">
        <v>2319</v>
      </c>
      <c r="C1041" s="646"/>
      <c r="D1041" s="705" t="s">
        <v>2319</v>
      </c>
      <c r="E1041" s="646"/>
      <c r="F1041" s="705" t="s">
        <v>2319</v>
      </c>
      <c r="G1041" s="646"/>
    </row>
    <row r="1042" spans="2:7" x14ac:dyDescent="0.2">
      <c r="B1042" s="656" t="s">
        <v>1656</v>
      </c>
      <c r="C1042" s="652"/>
      <c r="D1042" s="656" t="s">
        <v>1657</v>
      </c>
      <c r="E1042" s="652"/>
      <c r="F1042" s="656" t="s">
        <v>1658</v>
      </c>
      <c r="G1042" s="646"/>
    </row>
    <row r="1043" spans="2:7" x14ac:dyDescent="0.2">
      <c r="B1043" s="657" t="s">
        <v>1659</v>
      </c>
      <c r="C1043" s="652"/>
      <c r="D1043" s="657" t="s">
        <v>1660</v>
      </c>
      <c r="E1043" s="652"/>
      <c r="F1043" s="657" t="s">
        <v>1661</v>
      </c>
      <c r="G1043" s="646"/>
    </row>
    <row r="1044" spans="2:7" x14ac:dyDescent="0.2">
      <c r="B1044" s="658" t="s">
        <v>1662</v>
      </c>
      <c r="C1044" s="652"/>
      <c r="D1044" s="658" t="s">
        <v>1663</v>
      </c>
      <c r="E1044" s="652"/>
      <c r="F1044" s="658" t="s">
        <v>1664</v>
      </c>
      <c r="G1044" s="646"/>
    </row>
    <row r="1045" spans="2:7" x14ac:dyDescent="0.2">
      <c r="B1045" s="657" t="s">
        <v>1665</v>
      </c>
      <c r="C1045" s="652"/>
      <c r="D1045" s="657" t="s">
        <v>1666</v>
      </c>
      <c r="E1045" s="652"/>
      <c r="F1045" s="657" t="s">
        <v>1667</v>
      </c>
      <c r="G1045" s="646"/>
    </row>
    <row r="1046" spans="2:7" x14ac:dyDescent="0.2">
      <c r="B1046" s="658" t="s">
        <v>1668</v>
      </c>
      <c r="C1046" s="652"/>
      <c r="D1046" s="658" t="s">
        <v>1669</v>
      </c>
      <c r="E1046" s="652"/>
      <c r="F1046" s="658" t="s">
        <v>1670</v>
      </c>
      <c r="G1046" s="646"/>
    </row>
    <row r="1047" spans="2:7" x14ac:dyDescent="0.2">
      <c r="B1047" s="657" t="s">
        <v>1671</v>
      </c>
      <c r="C1047" s="652"/>
      <c r="D1047" s="657" t="s">
        <v>1672</v>
      </c>
      <c r="E1047" s="652"/>
      <c r="F1047" s="657" t="s">
        <v>1673</v>
      </c>
      <c r="G1047" s="646"/>
    </row>
    <row r="1048" spans="2:7" x14ac:dyDescent="0.2">
      <c r="B1048" s="658" t="s">
        <v>1674</v>
      </c>
      <c r="C1048" s="652"/>
      <c r="D1048" s="658" t="s">
        <v>1675</v>
      </c>
      <c r="E1048" s="652"/>
      <c r="F1048" s="658" t="s">
        <v>1676</v>
      </c>
      <c r="G1048" s="646"/>
    </row>
    <row r="1049" spans="2:7" x14ac:dyDescent="0.2">
      <c r="B1049" s="657" t="s">
        <v>1677</v>
      </c>
      <c r="C1049" s="652"/>
      <c r="D1049" s="657" t="s">
        <v>1678</v>
      </c>
      <c r="E1049" s="652"/>
      <c r="F1049" s="657" t="s">
        <v>1679</v>
      </c>
      <c r="G1049" s="646"/>
    </row>
    <row r="1050" spans="2:7" x14ac:dyDescent="0.2">
      <c r="B1050" s="658" t="s">
        <v>1680</v>
      </c>
      <c r="C1050" s="652"/>
      <c r="D1050" s="658" t="s">
        <v>1681</v>
      </c>
      <c r="E1050" s="652"/>
      <c r="F1050" s="658" t="s">
        <v>1682</v>
      </c>
      <c r="G1050" s="646"/>
    </row>
    <row r="1051" spans="2:7" x14ac:dyDescent="0.2">
      <c r="B1051" s="657" t="s">
        <v>1683</v>
      </c>
      <c r="C1051" s="652"/>
      <c r="D1051" s="657" t="s">
        <v>1684</v>
      </c>
      <c r="E1051" s="652"/>
      <c r="F1051" s="657" t="s">
        <v>1685</v>
      </c>
      <c r="G1051" s="646"/>
    </row>
    <row r="1052" spans="2:7" x14ac:dyDescent="0.2">
      <c r="B1052" s="658" t="s">
        <v>1686</v>
      </c>
      <c r="C1052" s="652"/>
      <c r="D1052" s="658" t="s">
        <v>1687</v>
      </c>
      <c r="E1052" s="652"/>
      <c r="F1052" s="658" t="s">
        <v>1688</v>
      </c>
      <c r="G1052" s="646"/>
    </row>
    <row r="1053" spans="2:7" x14ac:dyDescent="0.2">
      <c r="B1053" s="657" t="s">
        <v>1689</v>
      </c>
      <c r="C1053" s="652"/>
      <c r="D1053" s="657" t="s">
        <v>1690</v>
      </c>
      <c r="E1053" s="652"/>
      <c r="F1053" s="657" t="s">
        <v>1691</v>
      </c>
      <c r="G1053" s="646"/>
    </row>
    <row r="1054" spans="2:7" x14ac:dyDescent="0.2">
      <c r="B1054" s="665" t="s">
        <v>1692</v>
      </c>
      <c r="C1054" s="652"/>
      <c r="D1054" s="665" t="s">
        <v>1693</v>
      </c>
      <c r="E1054" s="652"/>
      <c r="F1054" s="665" t="s">
        <v>1694</v>
      </c>
      <c r="G1054" s="646"/>
    </row>
    <row r="1055" spans="2:7" x14ac:dyDescent="0.2">
      <c r="B1055" s="652"/>
      <c r="C1055" s="696"/>
      <c r="D1055" s="652"/>
      <c r="E1055" s="696"/>
      <c r="F1055" s="652"/>
      <c r="G1055" s="686"/>
    </row>
    <row r="1056" spans="2:7" x14ac:dyDescent="0.2">
      <c r="B1056" s="686"/>
      <c r="C1056" s="677"/>
      <c r="D1056" s="686"/>
      <c r="E1056" s="677"/>
      <c r="F1056" s="686"/>
      <c r="G1056" s="677"/>
    </row>
    <row r="1057" spans="2:7" x14ac:dyDescent="0.2">
      <c r="B1057" s="705" t="s">
        <v>2326</v>
      </c>
      <c r="C1057" s="677"/>
      <c r="D1057" s="705" t="s">
        <v>2327</v>
      </c>
      <c r="E1057" s="677"/>
      <c r="F1057" s="705" t="s">
        <v>2328</v>
      </c>
      <c r="G1057" s="677"/>
    </row>
    <row r="1058" spans="2:7" x14ac:dyDescent="0.2">
      <c r="B1058" s="705" t="s">
        <v>2319</v>
      </c>
      <c r="C1058" s="686"/>
      <c r="D1058" s="705" t="s">
        <v>2319</v>
      </c>
      <c r="E1058" s="686"/>
      <c r="F1058" s="705" t="s">
        <v>2254</v>
      </c>
      <c r="G1058" s="686"/>
    </row>
    <row r="1059" spans="2:7" x14ac:dyDescent="0.2">
      <c r="B1059" s="656" t="s">
        <v>1695</v>
      </c>
      <c r="C1059" s="652"/>
      <c r="D1059" s="656" t="s">
        <v>1696</v>
      </c>
      <c r="E1059" s="652"/>
      <c r="F1059" s="656" t="s">
        <v>1697</v>
      </c>
      <c r="G1059" s="646"/>
    </row>
    <row r="1060" spans="2:7" x14ac:dyDescent="0.2">
      <c r="B1060" s="657" t="s">
        <v>1698</v>
      </c>
      <c r="C1060" s="652"/>
      <c r="D1060" s="657" t="s">
        <v>1699</v>
      </c>
      <c r="E1060" s="652"/>
      <c r="F1060" s="657" t="s">
        <v>1700</v>
      </c>
      <c r="G1060" s="646"/>
    </row>
    <row r="1061" spans="2:7" x14ac:dyDescent="0.2">
      <c r="B1061" s="658" t="s">
        <v>1701</v>
      </c>
      <c r="C1061" s="652"/>
      <c r="D1061" s="658" t="s">
        <v>1702</v>
      </c>
      <c r="E1061" s="652"/>
      <c r="F1061" s="658" t="s">
        <v>1703</v>
      </c>
      <c r="G1061" s="646"/>
    </row>
    <row r="1062" spans="2:7" x14ac:dyDescent="0.2">
      <c r="B1062" s="657" t="s">
        <v>1704</v>
      </c>
      <c r="C1062" s="652"/>
      <c r="D1062" s="657" t="s">
        <v>1705</v>
      </c>
      <c r="E1062" s="652"/>
      <c r="F1062" s="657" t="s">
        <v>1706</v>
      </c>
      <c r="G1062" s="646"/>
    </row>
    <row r="1063" spans="2:7" x14ac:dyDescent="0.2">
      <c r="B1063" s="658" t="s">
        <v>1707</v>
      </c>
      <c r="C1063" s="652"/>
      <c r="D1063" s="658" t="s">
        <v>1708</v>
      </c>
      <c r="E1063" s="652"/>
      <c r="F1063" s="658" t="s">
        <v>1709</v>
      </c>
      <c r="G1063" s="646"/>
    </row>
    <row r="1064" spans="2:7" x14ac:dyDescent="0.2">
      <c r="B1064" s="657" t="s">
        <v>1710</v>
      </c>
      <c r="C1064" s="652"/>
      <c r="D1064" s="657" t="s">
        <v>1711</v>
      </c>
      <c r="E1064" s="652"/>
      <c r="F1064" s="657" t="s">
        <v>1712</v>
      </c>
      <c r="G1064" s="646"/>
    </row>
    <row r="1065" spans="2:7" x14ac:dyDescent="0.2">
      <c r="B1065" s="658" t="s">
        <v>1713</v>
      </c>
      <c r="C1065" s="652"/>
      <c r="D1065" s="658" t="s">
        <v>1714</v>
      </c>
      <c r="E1065" s="652"/>
      <c r="F1065" s="658" t="s">
        <v>1715</v>
      </c>
      <c r="G1065" s="646"/>
    </row>
    <row r="1066" spans="2:7" x14ac:dyDescent="0.2">
      <c r="B1066" s="657" t="s">
        <v>1716</v>
      </c>
      <c r="C1066" s="652"/>
      <c r="D1066" s="657" t="s">
        <v>1717</v>
      </c>
      <c r="E1066" s="652"/>
      <c r="F1066" s="657" t="s">
        <v>1718</v>
      </c>
      <c r="G1066" s="646"/>
    </row>
    <row r="1067" spans="2:7" x14ac:dyDescent="0.2">
      <c r="B1067" s="658" t="s">
        <v>1719</v>
      </c>
      <c r="C1067" s="652"/>
      <c r="D1067" s="658" t="s">
        <v>1720</v>
      </c>
      <c r="E1067" s="652"/>
      <c r="F1067" s="665" t="s">
        <v>1721</v>
      </c>
      <c r="G1067" s="646"/>
    </row>
    <row r="1068" spans="2:7" x14ac:dyDescent="0.2">
      <c r="B1068" s="657" t="s">
        <v>1722</v>
      </c>
      <c r="C1068" s="652"/>
      <c r="D1068" s="657" t="s">
        <v>1723</v>
      </c>
      <c r="E1068" s="652"/>
      <c r="F1068" s="652"/>
    </row>
    <row r="1069" spans="2:7" x14ac:dyDescent="0.2">
      <c r="B1069" s="658" t="s">
        <v>1724</v>
      </c>
      <c r="C1069" s="652"/>
      <c r="D1069" s="658" t="s">
        <v>1725</v>
      </c>
      <c r="E1069" s="652"/>
      <c r="F1069" s="652"/>
    </row>
    <row r="1070" spans="2:7" x14ac:dyDescent="0.2">
      <c r="B1070" s="657" t="s">
        <v>1726</v>
      </c>
      <c r="C1070" s="652"/>
      <c r="D1070" s="657" t="s">
        <v>1727</v>
      </c>
      <c r="E1070" s="652"/>
      <c r="F1070" s="652"/>
    </row>
    <row r="1071" spans="2:7" x14ac:dyDescent="0.2">
      <c r="B1071" s="665" t="s">
        <v>1728</v>
      </c>
      <c r="C1071" s="652"/>
      <c r="D1071" s="665" t="s">
        <v>1729</v>
      </c>
      <c r="E1071" s="652"/>
      <c r="F1071" s="652"/>
    </row>
    <row r="1072" spans="2:7" x14ac:dyDescent="0.2">
      <c r="B1072" s="652"/>
      <c r="C1072" s="696"/>
      <c r="D1072" s="652"/>
      <c r="E1072" s="696"/>
      <c r="F1072" s="652"/>
      <c r="G1072" s="686"/>
    </row>
    <row r="1073" spans="2:7" x14ac:dyDescent="0.2">
      <c r="B1073" s="686"/>
      <c r="C1073" s="677"/>
      <c r="D1073" s="686"/>
      <c r="E1073" s="677"/>
      <c r="F1073" s="686"/>
      <c r="G1073" s="677"/>
    </row>
    <row r="1074" spans="2:7" x14ac:dyDescent="0.2">
      <c r="B1074" s="705" t="s">
        <v>2329</v>
      </c>
      <c r="C1074" s="677"/>
      <c r="D1074" s="705" t="s">
        <v>2330</v>
      </c>
      <c r="E1074" s="677"/>
      <c r="F1074" s="705" t="s">
        <v>2331</v>
      </c>
      <c r="G1074" s="677"/>
    </row>
    <row r="1075" spans="2:7" x14ac:dyDescent="0.2">
      <c r="B1075" s="705" t="s">
        <v>2254</v>
      </c>
      <c r="C1075" s="646"/>
      <c r="D1075" s="705" t="s">
        <v>1251</v>
      </c>
      <c r="E1075" s="646"/>
      <c r="F1075" s="705" t="s">
        <v>1251</v>
      </c>
      <c r="G1075" s="646"/>
    </row>
    <row r="1076" spans="2:7" x14ac:dyDescent="0.2">
      <c r="B1076" s="656" t="s">
        <v>1730</v>
      </c>
      <c r="C1076" s="652"/>
      <c r="D1076" s="656" t="s">
        <v>266</v>
      </c>
      <c r="E1076" s="652"/>
      <c r="F1076" s="656" t="s">
        <v>1731</v>
      </c>
      <c r="G1076" s="646"/>
    </row>
    <row r="1077" spans="2:7" x14ac:dyDescent="0.2">
      <c r="B1077" s="657" t="s">
        <v>1732</v>
      </c>
      <c r="C1077" s="652"/>
      <c r="D1077" s="657" t="s">
        <v>1733</v>
      </c>
      <c r="E1077" s="652"/>
      <c r="F1077" s="657" t="s">
        <v>1734</v>
      </c>
      <c r="G1077" s="646"/>
    </row>
    <row r="1078" spans="2:7" x14ac:dyDescent="0.2">
      <c r="B1078" s="658" t="s">
        <v>1735</v>
      </c>
      <c r="C1078" s="652"/>
      <c r="D1078" s="658" t="s">
        <v>1736</v>
      </c>
      <c r="E1078" s="652"/>
      <c r="F1078" s="658" t="s">
        <v>1737</v>
      </c>
      <c r="G1078" s="646"/>
    </row>
    <row r="1079" spans="2:7" x14ac:dyDescent="0.2">
      <c r="B1079" s="657" t="s">
        <v>1738</v>
      </c>
      <c r="C1079" s="652"/>
      <c r="D1079" s="657" t="s">
        <v>1739</v>
      </c>
      <c r="E1079" s="652"/>
      <c r="F1079" s="657" t="s">
        <v>1740</v>
      </c>
      <c r="G1079" s="646"/>
    </row>
    <row r="1080" spans="2:7" x14ac:dyDescent="0.2">
      <c r="B1080" s="658" t="s">
        <v>1741</v>
      </c>
      <c r="C1080" s="652"/>
      <c r="D1080" s="658" t="s">
        <v>1742</v>
      </c>
      <c r="E1080" s="652"/>
      <c r="F1080" s="658" t="s">
        <v>1743</v>
      </c>
      <c r="G1080" s="646"/>
    </row>
    <row r="1081" spans="2:7" x14ac:dyDescent="0.2">
      <c r="B1081" s="657" t="s">
        <v>1744</v>
      </c>
      <c r="C1081" s="652"/>
      <c r="D1081" s="662" t="s">
        <v>1745</v>
      </c>
      <c r="E1081" s="652"/>
      <c r="F1081" s="662" t="s">
        <v>1746</v>
      </c>
      <c r="G1081" s="646"/>
    </row>
    <row r="1082" spans="2:7" x14ac:dyDescent="0.2">
      <c r="B1082" s="658" t="s">
        <v>1747</v>
      </c>
      <c r="C1082" s="652"/>
      <c r="D1082" s="651"/>
      <c r="E1082" s="651"/>
      <c r="F1082" s="651"/>
    </row>
    <row r="1083" spans="2:7" x14ac:dyDescent="0.2">
      <c r="B1083" s="657" t="s">
        <v>1748</v>
      </c>
      <c r="C1083" s="652"/>
      <c r="D1083" s="651"/>
      <c r="E1083" s="651"/>
      <c r="F1083" s="651"/>
    </row>
    <row r="1084" spans="2:7" x14ac:dyDescent="0.2">
      <c r="B1084" s="665" t="s">
        <v>1749</v>
      </c>
      <c r="C1084" s="652"/>
      <c r="D1084" s="651"/>
      <c r="E1084" s="651"/>
      <c r="F1084" s="651"/>
    </row>
    <row r="1085" spans="2:7" x14ac:dyDescent="0.2">
      <c r="B1085" s="652"/>
      <c r="C1085" s="651"/>
      <c r="D1085" s="651"/>
      <c r="E1085" s="651"/>
      <c r="F1085" s="651"/>
    </row>
  </sheetData>
  <printOptions horizontalCentered="1"/>
  <pageMargins left="0.25" right="0.25" top="0.75" bottom="0.75" header="0.3" footer="0.3"/>
  <pageSetup fitToWidth="0" fitToHeight="0" orientation="portrait" r:id="rId1"/>
  <rowBreaks count="26" manualBreakCount="26">
    <brk id="94" max="16383" man="1"/>
    <brk id="140" max="16383" man="1"/>
    <brk id="180" max="16383" man="1"/>
    <brk id="220" max="16383" man="1"/>
    <brk id="262" max="16383" man="1"/>
    <brk id="318" max="16383" man="1"/>
    <brk id="351" max="16383" man="1"/>
    <brk id="382" max="16383" man="1"/>
    <brk id="423" max="16383" man="1"/>
    <brk id="454" max="16383" man="1"/>
    <brk id="488" max="16383" man="1"/>
    <brk id="541" max="16383" man="1"/>
    <brk id="574" max="16383" man="1"/>
    <brk id="605" max="16383" man="1"/>
    <brk id="642" max="16383" man="1"/>
    <brk id="669" max="16383" man="1"/>
    <brk id="696" max="16383" man="1"/>
    <brk id="723" max="16383" man="1"/>
    <brk id="765" max="16383" man="1"/>
    <brk id="809" max="16383" man="1"/>
    <brk id="839" max="16383" man="1"/>
    <brk id="879" max="16383" man="1"/>
    <brk id="926" max="16383" man="1"/>
    <brk id="964" max="16383" man="1"/>
    <brk id="1008" max="16383" man="1"/>
    <brk id="1034" max="16383" man="1"/>
  </rowBreak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0AFE-52E7-4BED-AAAE-44BE6639F974}">
  <sheetPr>
    <tabColor rgb="FFFFFFA3"/>
  </sheetPr>
  <dimension ref="A1:U62"/>
  <sheetViews>
    <sheetView topLeftCell="B1" zoomScaleNormal="100" workbookViewId="0">
      <selection activeCell="I1" sqref="I1:U61"/>
    </sheetView>
  </sheetViews>
  <sheetFormatPr defaultRowHeight="12.75" x14ac:dyDescent="0.2"/>
  <cols>
    <col min="1" max="1" width="13.625" style="215" customWidth="1"/>
    <col min="2" max="2" width="1.125" style="215" customWidth="1"/>
    <col min="3" max="7" width="16.5" style="215" customWidth="1"/>
    <col min="8" max="8" width="9" style="215"/>
    <col min="9" max="20" width="6.75" style="215" customWidth="1"/>
    <col min="21" max="16384" width="9" style="215"/>
  </cols>
  <sheetData>
    <row r="1" spans="1:21" x14ac:dyDescent="0.2">
      <c r="A1" s="298" t="s">
        <v>1795</v>
      </c>
      <c r="B1" s="298"/>
      <c r="C1" s="301" t="s">
        <v>1911</v>
      </c>
      <c r="D1" s="301" t="s">
        <v>1912</v>
      </c>
      <c r="E1" s="301" t="s">
        <v>1913</v>
      </c>
      <c r="F1" s="301" t="s">
        <v>1914</v>
      </c>
      <c r="G1" s="301" t="s">
        <v>1915</v>
      </c>
      <c r="I1" s="215" t="s">
        <v>1877</v>
      </c>
    </row>
    <row r="2" spans="1:21" ht="13.5" thickBot="1" x14ac:dyDescent="0.25">
      <c r="A2" s="298" t="s">
        <v>1916</v>
      </c>
      <c r="B2" s="298"/>
      <c r="C2" s="302" t="s">
        <v>1917</v>
      </c>
      <c r="D2" s="302" t="s">
        <v>1912</v>
      </c>
      <c r="E2" s="302" t="s">
        <v>1917</v>
      </c>
      <c r="F2" s="302"/>
      <c r="G2" s="302" t="s">
        <v>1918</v>
      </c>
      <c r="J2" s="226"/>
      <c r="K2" s="226"/>
      <c r="L2" s="226"/>
      <c r="M2" s="226"/>
      <c r="N2" s="226"/>
      <c r="O2" s="226"/>
      <c r="P2" s="226"/>
      <c r="Q2"/>
      <c r="R2"/>
      <c r="S2"/>
    </row>
    <row r="3" spans="1:21" x14ac:dyDescent="0.2">
      <c r="A3" s="298" t="s">
        <v>1919</v>
      </c>
      <c r="B3" s="298"/>
      <c r="C3" s="302" t="s">
        <v>1920</v>
      </c>
      <c r="D3" s="302" t="s">
        <v>1920</v>
      </c>
      <c r="E3" s="302" t="s">
        <v>1920</v>
      </c>
      <c r="F3" s="302" t="s">
        <v>1920</v>
      </c>
      <c r="G3" s="302" t="s">
        <v>1920</v>
      </c>
      <c r="I3" s="352" t="s">
        <v>1795</v>
      </c>
      <c r="J3" s="353"/>
      <c r="K3" s="354"/>
      <c r="L3" s="355"/>
      <c r="M3" s="355" t="s">
        <v>2113</v>
      </c>
      <c r="N3" s="354"/>
      <c r="O3" s="354"/>
      <c r="P3" s="354"/>
      <c r="Q3" s="354"/>
      <c r="R3" s="356"/>
      <c r="S3" s="356"/>
      <c r="T3" s="367"/>
      <c r="U3" s="368"/>
    </row>
    <row r="4" spans="1:21" x14ac:dyDescent="0.2">
      <c r="A4" s="298" t="s">
        <v>1921</v>
      </c>
      <c r="B4" s="298"/>
      <c r="C4" s="302" t="s">
        <v>1920</v>
      </c>
      <c r="D4" s="302" t="s">
        <v>1920</v>
      </c>
      <c r="E4" s="302" t="s">
        <v>1920</v>
      </c>
      <c r="F4" s="302" t="s">
        <v>1920</v>
      </c>
      <c r="G4" s="302" t="s">
        <v>1920</v>
      </c>
      <c r="I4" s="357" t="s">
        <v>1878</v>
      </c>
      <c r="J4" s="280"/>
      <c r="K4" s="226"/>
      <c r="L4" s="226"/>
      <c r="M4" s="226"/>
      <c r="N4" s="226"/>
      <c r="O4" s="226"/>
      <c r="P4" s="226"/>
      <c r="Q4" s="226"/>
      <c r="R4"/>
      <c r="S4"/>
      <c r="U4" s="369"/>
    </row>
    <row r="5" spans="1:21" x14ac:dyDescent="0.2">
      <c r="A5" s="298" t="s">
        <v>1922</v>
      </c>
      <c r="B5" s="298"/>
      <c r="C5" s="302" t="s">
        <v>1920</v>
      </c>
      <c r="D5" s="302" t="s">
        <v>1920</v>
      </c>
      <c r="E5" s="302" t="s">
        <v>1920</v>
      </c>
      <c r="F5" s="302" t="s">
        <v>1920</v>
      </c>
      <c r="G5" s="302" t="s">
        <v>1920</v>
      </c>
      <c r="I5" s="363" t="s">
        <v>1882</v>
      </c>
      <c r="J5" s="280">
        <f>J7+L7</f>
        <v>0</v>
      </c>
      <c r="K5" s="227"/>
      <c r="L5" s="226"/>
      <c r="M5" s="364" t="s">
        <v>1880</v>
      </c>
      <c r="N5" s="280">
        <f>N7+P7</f>
        <v>0</v>
      </c>
      <c r="O5" s="227"/>
      <c r="P5" s="280"/>
      <c r="Q5" s="364" t="s">
        <v>1879</v>
      </c>
      <c r="R5" s="280">
        <f>R7+T7</f>
        <v>0</v>
      </c>
      <c r="S5" s="227"/>
      <c r="U5" s="369"/>
    </row>
    <row r="6" spans="1:21" x14ac:dyDescent="0.2">
      <c r="A6" s="298" t="s">
        <v>1923</v>
      </c>
      <c r="B6" s="298"/>
      <c r="C6" s="302" t="s">
        <v>1920</v>
      </c>
      <c r="D6" s="302" t="s">
        <v>1920</v>
      </c>
      <c r="E6" s="302" t="s">
        <v>1920</v>
      </c>
      <c r="F6" s="302" t="s">
        <v>1920</v>
      </c>
      <c r="G6" s="302" t="s">
        <v>1920</v>
      </c>
      <c r="I6" s="363"/>
      <c r="J6" s="280"/>
      <c r="K6" s="227"/>
      <c r="L6" s="226"/>
      <c r="M6" s="364"/>
      <c r="N6" s="280"/>
      <c r="O6" s="227"/>
      <c r="P6" s="280"/>
      <c r="Q6" s="364"/>
      <c r="R6" s="280"/>
      <c r="S6" s="227"/>
      <c r="U6" s="369"/>
    </row>
    <row r="7" spans="1:21" x14ac:dyDescent="0.2">
      <c r="A7" s="298" t="s">
        <v>1924</v>
      </c>
      <c r="B7" s="298"/>
      <c r="C7" s="302" t="s">
        <v>1920</v>
      </c>
      <c r="D7" s="302" t="s">
        <v>1920</v>
      </c>
      <c r="E7" s="302" t="s">
        <v>1920</v>
      </c>
      <c r="F7" s="302" t="s">
        <v>1920</v>
      </c>
      <c r="G7" s="302" t="s">
        <v>1920</v>
      </c>
      <c r="I7" s="363" t="s">
        <v>1883</v>
      </c>
      <c r="J7" s="280">
        <f>SUM(J8:J10)</f>
        <v>0</v>
      </c>
      <c r="K7" s="364" t="s">
        <v>1887</v>
      </c>
      <c r="L7" s="280">
        <f>SUM(L8:L10)</f>
        <v>0</v>
      </c>
      <c r="M7" s="364" t="s">
        <v>1891</v>
      </c>
      <c r="N7" s="280">
        <f>SUM(N8:N10)</f>
        <v>0</v>
      </c>
      <c r="O7" s="364" t="s">
        <v>1895</v>
      </c>
      <c r="P7" s="280"/>
      <c r="Q7" s="364" t="s">
        <v>1899</v>
      </c>
      <c r="R7" s="280">
        <f>SUM(R8:R10)</f>
        <v>0</v>
      </c>
      <c r="S7" s="364" t="s">
        <v>1903</v>
      </c>
      <c r="U7" s="369"/>
    </row>
    <row r="8" spans="1:21" x14ac:dyDescent="0.2">
      <c r="A8" s="298" t="s">
        <v>1989</v>
      </c>
      <c r="B8" s="298"/>
      <c r="C8" s="302"/>
      <c r="D8" s="302"/>
      <c r="E8" s="302"/>
      <c r="F8" s="302"/>
      <c r="G8" s="302"/>
      <c r="I8" s="363" t="s">
        <v>1884</v>
      </c>
      <c r="J8" s="280"/>
      <c r="K8" s="364" t="s">
        <v>1888</v>
      </c>
      <c r="L8" s="280"/>
      <c r="M8" s="364" t="s">
        <v>1892</v>
      </c>
      <c r="N8" s="226"/>
      <c r="O8" s="364" t="s">
        <v>1896</v>
      </c>
      <c r="P8" s="280"/>
      <c r="Q8" s="364" t="s">
        <v>1900</v>
      </c>
      <c r="R8" s="280"/>
      <c r="S8" s="364" t="s">
        <v>1904</v>
      </c>
      <c r="U8" s="369"/>
    </row>
    <row r="9" spans="1:21" x14ac:dyDescent="0.2">
      <c r="A9" s="307" t="s">
        <v>76</v>
      </c>
      <c r="B9" s="307"/>
      <c r="C9" s="313">
        <v>100</v>
      </c>
      <c r="D9" s="313">
        <v>60</v>
      </c>
      <c r="E9" s="313">
        <v>100</v>
      </c>
      <c r="F9" s="313">
        <v>20</v>
      </c>
      <c r="G9" s="313">
        <v>120</v>
      </c>
      <c r="I9" s="363" t="s">
        <v>1885</v>
      </c>
      <c r="J9" s="280"/>
      <c r="K9" s="364" t="s">
        <v>1889</v>
      </c>
      <c r="L9" s="280"/>
      <c r="M9" s="364" t="s">
        <v>1893</v>
      </c>
      <c r="N9" s="226"/>
      <c r="O9" s="364" t="s">
        <v>1897</v>
      </c>
      <c r="P9" s="280"/>
      <c r="Q9" s="364" t="s">
        <v>1901</v>
      </c>
      <c r="R9" s="280"/>
      <c r="S9" s="364" t="s">
        <v>1905</v>
      </c>
      <c r="U9" s="369"/>
    </row>
    <row r="10" spans="1:21" x14ac:dyDescent="0.2">
      <c r="A10" s="307" t="s">
        <v>1925</v>
      </c>
      <c r="B10" s="307"/>
      <c r="C10" s="308">
        <v>50</v>
      </c>
      <c r="D10" s="308">
        <v>30</v>
      </c>
      <c r="E10" s="308">
        <v>50</v>
      </c>
      <c r="F10" s="308"/>
      <c r="G10" s="308">
        <v>60</v>
      </c>
      <c r="I10" s="363" t="s">
        <v>1886</v>
      </c>
      <c r="J10" s="280"/>
      <c r="K10" s="364" t="s">
        <v>1890</v>
      </c>
      <c r="L10" s="280"/>
      <c r="M10" s="364" t="s">
        <v>1894</v>
      </c>
      <c r="N10" s="226"/>
      <c r="O10" s="364" t="s">
        <v>1898</v>
      </c>
      <c r="P10" s="280"/>
      <c r="Q10" s="364" t="s">
        <v>1902</v>
      </c>
      <c r="R10" s="280"/>
      <c r="S10" s="364" t="s">
        <v>1906</v>
      </c>
      <c r="U10" s="369"/>
    </row>
    <row r="11" spans="1:21" x14ac:dyDescent="0.2">
      <c r="A11" s="307" t="s">
        <v>1988</v>
      </c>
      <c r="B11" s="307"/>
      <c r="C11" s="308">
        <v>18</v>
      </c>
      <c r="D11" s="308">
        <v>12</v>
      </c>
      <c r="E11" s="308">
        <v>20</v>
      </c>
      <c r="F11" s="308"/>
      <c r="G11" s="308">
        <v>20</v>
      </c>
      <c r="I11" s="358"/>
      <c r="J11" s="226"/>
      <c r="K11" s="226"/>
      <c r="L11" s="226"/>
      <c r="M11" s="226"/>
      <c r="N11" s="226"/>
      <c r="O11" s="226"/>
      <c r="P11" s="226"/>
      <c r="Q11"/>
      <c r="R11"/>
      <c r="S11" s="365"/>
      <c r="U11" s="369"/>
    </row>
    <row r="12" spans="1:21" x14ac:dyDescent="0.2">
      <c r="A12" s="307" t="s">
        <v>1987</v>
      </c>
      <c r="B12" s="307"/>
      <c r="C12" s="308">
        <v>16</v>
      </c>
      <c r="D12" s="308">
        <v>9</v>
      </c>
      <c r="E12" s="308">
        <v>20</v>
      </c>
      <c r="F12" s="308"/>
      <c r="G12" s="308">
        <v>20</v>
      </c>
      <c r="I12" s="357" t="s">
        <v>1757</v>
      </c>
      <c r="J12" s="238" t="s">
        <v>1758</v>
      </c>
      <c r="K12" s="238" t="s">
        <v>22</v>
      </c>
      <c r="L12" s="238" t="s">
        <v>1759</v>
      </c>
      <c r="M12" s="238" t="s">
        <v>24</v>
      </c>
      <c r="N12" s="238" t="s">
        <v>25</v>
      </c>
      <c r="O12" s="238" t="s">
        <v>26</v>
      </c>
      <c r="P12" s="238" t="s">
        <v>27</v>
      </c>
      <c r="Q12"/>
      <c r="R12" s="238" t="s">
        <v>1881</v>
      </c>
      <c r="S12"/>
      <c r="U12" s="369"/>
    </row>
    <row r="13" spans="1:21" x14ac:dyDescent="0.2">
      <c r="A13" s="307" t="s">
        <v>1986</v>
      </c>
      <c r="B13" s="307"/>
      <c r="C13" s="308">
        <v>16</v>
      </c>
      <c r="D13" s="308">
        <v>9</v>
      </c>
      <c r="E13" s="308">
        <v>10</v>
      </c>
      <c r="F13" s="308"/>
      <c r="G13" s="308">
        <v>20</v>
      </c>
      <c r="I13" s="358" t="s">
        <v>1761</v>
      </c>
      <c r="J13" s="279">
        <v>5</v>
      </c>
      <c r="K13" s="279">
        <v>5</v>
      </c>
      <c r="L13" s="279">
        <v>5</v>
      </c>
      <c r="M13" s="279">
        <v>25</v>
      </c>
      <c r="N13" s="279">
        <v>25</v>
      </c>
      <c r="O13" s="279">
        <v>5</v>
      </c>
      <c r="P13" s="279">
        <v>25</v>
      </c>
      <c r="Q13"/>
      <c r="R13"/>
      <c r="S13"/>
      <c r="U13" s="369"/>
    </row>
    <row r="14" spans="1:21" x14ac:dyDescent="0.2">
      <c r="A14" s="307" t="s">
        <v>1926</v>
      </c>
      <c r="B14" s="307"/>
      <c r="C14" s="308">
        <v>50</v>
      </c>
      <c r="D14" s="308">
        <v>30</v>
      </c>
      <c r="E14" s="308">
        <v>50</v>
      </c>
      <c r="F14" s="308"/>
      <c r="G14" s="308">
        <v>60</v>
      </c>
      <c r="I14" s="358"/>
      <c r="J14" s="226"/>
      <c r="K14" s="226"/>
      <c r="L14" s="226"/>
      <c r="M14" s="226"/>
      <c r="N14" s="226"/>
      <c r="O14" s="226"/>
      <c r="P14" s="226"/>
      <c r="Q14"/>
      <c r="R14"/>
      <c r="S14"/>
      <c r="U14" s="369"/>
    </row>
    <row r="15" spans="1:21" x14ac:dyDescent="0.2">
      <c r="A15" s="307" t="s">
        <v>1985</v>
      </c>
      <c r="B15" s="307"/>
      <c r="C15" s="308">
        <v>18</v>
      </c>
      <c r="D15" s="308">
        <v>12</v>
      </c>
      <c r="E15" s="308">
        <v>20</v>
      </c>
      <c r="F15" s="308"/>
      <c r="G15" s="308">
        <v>20</v>
      </c>
      <c r="I15" s="359"/>
      <c r="J15"/>
      <c r="K15"/>
      <c r="L15"/>
      <c r="M15"/>
      <c r="N15"/>
      <c r="O15"/>
      <c r="P15"/>
      <c r="Q15"/>
      <c r="R15"/>
      <c r="S15"/>
      <c r="U15" s="369"/>
    </row>
    <row r="16" spans="1:21" x14ac:dyDescent="0.2">
      <c r="A16" s="307" t="s">
        <v>1984</v>
      </c>
      <c r="B16" s="307"/>
      <c r="C16" s="308">
        <v>16</v>
      </c>
      <c r="D16" s="308">
        <v>9</v>
      </c>
      <c r="E16" s="308">
        <v>20</v>
      </c>
      <c r="F16" s="308"/>
      <c r="G16" s="308">
        <v>20</v>
      </c>
      <c r="I16" s="357" t="s">
        <v>1939</v>
      </c>
      <c r="J16" s="229"/>
      <c r="K16" s="229" t="s">
        <v>1944</v>
      </c>
      <c r="L16" s="229"/>
      <c r="M16" s="229" t="s">
        <v>2114</v>
      </c>
      <c r="N16" s="229"/>
      <c r="O16" s="229"/>
      <c r="P16" s="229"/>
      <c r="Q16" s="229"/>
      <c r="R16" s="229"/>
      <c r="S16" s="229"/>
      <c r="T16" s="229"/>
      <c r="U16" s="369"/>
    </row>
    <row r="17" spans="1:21" x14ac:dyDescent="0.2">
      <c r="A17" s="307" t="s">
        <v>1983</v>
      </c>
      <c r="B17" s="307"/>
      <c r="C17" s="308">
        <v>16</v>
      </c>
      <c r="D17" s="308">
        <v>9</v>
      </c>
      <c r="E17" s="308">
        <v>10</v>
      </c>
      <c r="F17" s="308"/>
      <c r="G17" s="308">
        <v>20</v>
      </c>
      <c r="I17" s="357"/>
      <c r="J17" s="229"/>
      <c r="K17" s="229"/>
      <c r="L17" s="229"/>
      <c r="M17" s="229"/>
      <c r="N17" s="229"/>
      <c r="O17" s="229"/>
      <c r="P17" s="229"/>
      <c r="Q17" s="229"/>
      <c r="R17" s="229"/>
      <c r="S17" s="229"/>
      <c r="T17" s="229"/>
      <c r="U17" s="369"/>
    </row>
    <row r="18" spans="1:21" x14ac:dyDescent="0.2">
      <c r="A18" s="309" t="s">
        <v>1927</v>
      </c>
      <c r="B18" s="309"/>
      <c r="C18" s="310">
        <v>120</v>
      </c>
      <c r="D18" s="310">
        <v>250</v>
      </c>
      <c r="E18" s="310">
        <v>200</v>
      </c>
      <c r="F18" s="310">
        <v>260</v>
      </c>
      <c r="G18" s="310">
        <v>80</v>
      </c>
      <c r="I18" s="357"/>
      <c r="J18" s="229"/>
      <c r="K18" s="229"/>
      <c r="L18" s="229"/>
      <c r="M18" s="229"/>
      <c r="N18" s="229"/>
      <c r="O18" s="229"/>
      <c r="P18" s="229"/>
      <c r="Q18" s="229"/>
      <c r="R18" s="229"/>
      <c r="S18" s="229"/>
      <c r="T18" s="229"/>
      <c r="U18" s="369"/>
    </row>
    <row r="19" spans="1:21" x14ac:dyDescent="0.2">
      <c r="A19" s="309" t="s">
        <v>1928</v>
      </c>
      <c r="B19" s="309"/>
      <c r="C19" s="311">
        <v>60</v>
      </c>
      <c r="D19" s="311">
        <v>125</v>
      </c>
      <c r="E19" s="311">
        <v>100</v>
      </c>
      <c r="F19" s="311"/>
      <c r="G19" s="311">
        <v>40</v>
      </c>
      <c r="I19" s="357"/>
      <c r="J19" s="229"/>
      <c r="K19" s="229"/>
      <c r="L19" s="229"/>
      <c r="M19" s="229"/>
      <c r="N19" s="229"/>
      <c r="O19" s="229"/>
      <c r="P19" s="229"/>
      <c r="Q19" s="229"/>
      <c r="R19" s="229"/>
      <c r="S19" s="229"/>
      <c r="T19" s="229"/>
      <c r="U19" s="369"/>
    </row>
    <row r="20" spans="1:21" x14ac:dyDescent="0.2">
      <c r="A20" s="309" t="s">
        <v>1982</v>
      </c>
      <c r="B20" s="309"/>
      <c r="C20" s="311">
        <v>20</v>
      </c>
      <c r="D20" s="311">
        <v>45</v>
      </c>
      <c r="E20" s="311">
        <v>50</v>
      </c>
      <c r="F20" s="311"/>
      <c r="G20" s="311">
        <v>18</v>
      </c>
      <c r="I20" s="357"/>
      <c r="J20" s="229"/>
      <c r="K20" s="229"/>
      <c r="L20" s="229"/>
      <c r="M20" s="229"/>
      <c r="N20" s="229"/>
      <c r="O20" s="229"/>
      <c r="P20" s="229"/>
      <c r="Q20" s="229"/>
      <c r="R20" s="229"/>
      <c r="S20" s="229"/>
      <c r="T20" s="229"/>
      <c r="U20" s="369"/>
    </row>
    <row r="21" spans="1:21" x14ac:dyDescent="0.2">
      <c r="A21" s="309" t="s">
        <v>1981</v>
      </c>
      <c r="B21" s="309"/>
      <c r="C21" s="311">
        <v>20</v>
      </c>
      <c r="D21" s="311">
        <v>40</v>
      </c>
      <c r="E21" s="311">
        <v>30</v>
      </c>
      <c r="F21" s="311"/>
      <c r="G21" s="311">
        <v>5</v>
      </c>
      <c r="I21" s="360" t="s">
        <v>1932</v>
      </c>
      <c r="J21" s="229"/>
      <c r="K21" s="229"/>
      <c r="L21" s="229"/>
      <c r="M21" s="229"/>
      <c r="N21" s="229"/>
      <c r="O21" s="366" t="s">
        <v>1960</v>
      </c>
      <c r="P21" s="229"/>
      <c r="Q21" s="229"/>
      <c r="R21" s="229"/>
      <c r="S21" s="229"/>
      <c r="T21" s="229"/>
      <c r="U21" s="369"/>
    </row>
    <row r="22" spans="1:21" x14ac:dyDescent="0.2">
      <c r="A22" s="309" t="s">
        <v>1980</v>
      </c>
      <c r="B22" s="309"/>
      <c r="C22" s="311">
        <v>20</v>
      </c>
      <c r="D22" s="311">
        <v>40</v>
      </c>
      <c r="E22" s="311">
        <v>20</v>
      </c>
      <c r="F22" s="311"/>
      <c r="G22" s="311">
        <v>17</v>
      </c>
      <c r="I22" s="360"/>
      <c r="J22" s="229"/>
      <c r="K22" s="229"/>
      <c r="L22" s="229"/>
      <c r="M22" s="229"/>
      <c r="N22" s="229"/>
      <c r="O22" s="229"/>
      <c r="P22" s="229"/>
      <c r="Q22" s="229"/>
      <c r="R22" s="229"/>
      <c r="S22" s="229"/>
      <c r="T22" s="229"/>
      <c r="U22" s="369"/>
    </row>
    <row r="23" spans="1:21" x14ac:dyDescent="0.2">
      <c r="A23" s="309" t="s">
        <v>1929</v>
      </c>
      <c r="B23" s="309"/>
      <c r="C23" s="311">
        <v>60</v>
      </c>
      <c r="D23" s="311">
        <v>125</v>
      </c>
      <c r="E23" s="311">
        <v>100</v>
      </c>
      <c r="F23" s="311"/>
      <c r="G23" s="311">
        <v>40</v>
      </c>
      <c r="I23" s="360" t="s">
        <v>1934</v>
      </c>
      <c r="J23" s="229"/>
      <c r="K23" s="229"/>
      <c r="L23" s="229"/>
      <c r="M23" s="229"/>
      <c r="N23" s="229"/>
      <c r="O23" s="229"/>
      <c r="P23" s="229"/>
      <c r="Q23" s="229"/>
      <c r="R23" s="229"/>
      <c r="S23" s="229"/>
      <c r="T23" s="229"/>
      <c r="U23" s="369"/>
    </row>
    <row r="24" spans="1:21" x14ac:dyDescent="0.2">
      <c r="A24" s="309" t="s">
        <v>1979</v>
      </c>
      <c r="B24" s="309"/>
      <c r="C24" s="311">
        <v>20</v>
      </c>
      <c r="D24" s="311">
        <v>45</v>
      </c>
      <c r="E24" s="311">
        <v>50</v>
      </c>
      <c r="F24" s="311"/>
      <c r="G24" s="311">
        <v>18</v>
      </c>
      <c r="I24" s="360"/>
      <c r="J24" s="229"/>
      <c r="K24" s="229"/>
      <c r="L24" s="229"/>
      <c r="M24" s="229"/>
      <c r="N24" s="229"/>
      <c r="O24" s="229"/>
      <c r="P24" s="229"/>
      <c r="Q24" s="229"/>
      <c r="R24" s="229"/>
      <c r="S24" s="229"/>
      <c r="T24" s="229"/>
      <c r="U24" s="369"/>
    </row>
    <row r="25" spans="1:21" x14ac:dyDescent="0.2">
      <c r="A25" s="309" t="s">
        <v>1978</v>
      </c>
      <c r="B25" s="309"/>
      <c r="C25" s="311">
        <v>20</v>
      </c>
      <c r="D25" s="311">
        <v>40</v>
      </c>
      <c r="E25" s="311">
        <v>30</v>
      </c>
      <c r="F25" s="311"/>
      <c r="G25" s="311">
        <v>5</v>
      </c>
      <c r="I25" s="357" t="s">
        <v>2115</v>
      </c>
      <c r="J25" s="229"/>
      <c r="K25" s="229"/>
      <c r="L25" s="229"/>
      <c r="M25" s="229"/>
      <c r="N25" s="229"/>
      <c r="O25" s="229"/>
      <c r="P25" s="229"/>
      <c r="Q25" s="229"/>
      <c r="R25" s="229"/>
      <c r="S25" s="229"/>
      <c r="T25" s="229"/>
      <c r="U25" s="369"/>
    </row>
    <row r="26" spans="1:21" x14ac:dyDescent="0.2">
      <c r="A26" s="309" t="s">
        <v>1977</v>
      </c>
      <c r="B26" s="309"/>
      <c r="C26" s="311">
        <v>20</v>
      </c>
      <c r="D26" s="311">
        <v>40</v>
      </c>
      <c r="E26" s="311">
        <v>20</v>
      </c>
      <c r="F26" s="311"/>
      <c r="G26" s="311">
        <v>17</v>
      </c>
      <c r="I26" s="357"/>
      <c r="J26" s="229"/>
      <c r="K26" s="229"/>
      <c r="L26" s="229"/>
      <c r="M26" s="229"/>
      <c r="N26" s="229"/>
      <c r="O26" s="229"/>
      <c r="P26" s="229"/>
      <c r="Q26" s="229"/>
      <c r="R26" s="229"/>
      <c r="S26" s="229"/>
      <c r="T26" s="229"/>
      <c r="U26" s="369"/>
    </row>
    <row r="27" spans="1:21" x14ac:dyDescent="0.2">
      <c r="A27" s="305" t="s">
        <v>52</v>
      </c>
      <c r="B27" s="305"/>
      <c r="C27" s="312">
        <v>100</v>
      </c>
      <c r="D27" s="312">
        <v>60</v>
      </c>
      <c r="E27" s="312">
        <v>150</v>
      </c>
      <c r="F27" s="312"/>
      <c r="G27" s="312">
        <v>100</v>
      </c>
      <c r="I27" s="357"/>
      <c r="J27" s="229"/>
      <c r="K27" s="229"/>
      <c r="L27" s="229"/>
      <c r="M27" s="229"/>
      <c r="N27" s="229"/>
      <c r="O27" s="229"/>
      <c r="P27" s="229"/>
      <c r="Q27" s="229"/>
      <c r="R27" s="229"/>
      <c r="S27" s="229"/>
      <c r="T27" s="229"/>
      <c r="U27" s="369"/>
    </row>
    <row r="28" spans="1:21" x14ac:dyDescent="0.2">
      <c r="A28" s="305" t="s">
        <v>1930</v>
      </c>
      <c r="B28" s="305"/>
      <c r="C28" s="306">
        <v>50</v>
      </c>
      <c r="D28" s="306">
        <v>30</v>
      </c>
      <c r="E28" s="306">
        <v>85</v>
      </c>
      <c r="F28" s="306"/>
      <c r="G28" s="306">
        <v>50</v>
      </c>
      <c r="I28" s="357"/>
      <c r="J28" s="229"/>
      <c r="K28" s="229"/>
      <c r="L28" s="229"/>
      <c r="M28" s="229"/>
      <c r="N28" s="229"/>
      <c r="O28" s="229"/>
      <c r="P28" s="229"/>
      <c r="Q28" s="229"/>
      <c r="R28" s="229"/>
      <c r="S28" s="229"/>
      <c r="T28" s="229"/>
      <c r="U28" s="369"/>
    </row>
    <row r="29" spans="1:21" x14ac:dyDescent="0.2">
      <c r="A29" s="305" t="s">
        <v>1971</v>
      </c>
      <c r="B29" s="305"/>
      <c r="C29" s="306">
        <v>50</v>
      </c>
      <c r="D29" s="306">
        <v>30</v>
      </c>
      <c r="E29" s="306">
        <v>65</v>
      </c>
      <c r="F29" s="306"/>
      <c r="G29" s="306">
        <v>50</v>
      </c>
      <c r="I29" s="357"/>
      <c r="J29" s="229"/>
      <c r="K29" s="229"/>
      <c r="L29" s="229"/>
      <c r="M29" s="229"/>
      <c r="N29" s="229"/>
      <c r="O29" s="229"/>
      <c r="P29" s="229"/>
      <c r="Q29" s="229"/>
      <c r="R29" s="229"/>
      <c r="S29" s="229"/>
      <c r="T29" s="229"/>
      <c r="U29" s="369"/>
    </row>
    <row r="30" spans="1:21" ht="13.5" thickBot="1" x14ac:dyDescent="0.25">
      <c r="A30" s="305" t="s">
        <v>1972</v>
      </c>
      <c r="B30" s="305"/>
      <c r="C30" s="306"/>
      <c r="D30" s="306"/>
      <c r="E30" s="306"/>
      <c r="F30" s="306"/>
      <c r="G30" s="306"/>
      <c r="I30" s="361"/>
      <c r="J30" s="362"/>
      <c r="K30" s="362"/>
      <c r="L30" s="362"/>
      <c r="M30" s="362"/>
      <c r="N30" s="362"/>
      <c r="O30" s="362"/>
      <c r="P30" s="362"/>
      <c r="Q30" s="362"/>
      <c r="R30" s="362"/>
      <c r="S30" s="362"/>
      <c r="T30" s="362"/>
      <c r="U30" s="370"/>
    </row>
    <row r="31" spans="1:21" ht="13.5" thickBot="1" x14ac:dyDescent="0.25">
      <c r="A31" s="305" t="s">
        <v>1973</v>
      </c>
      <c r="B31" s="305"/>
      <c r="C31" s="306"/>
      <c r="D31" s="306"/>
      <c r="E31" s="306"/>
      <c r="F31" s="306"/>
      <c r="G31" s="306"/>
    </row>
    <row r="32" spans="1:21" x14ac:dyDescent="0.2">
      <c r="A32" s="305" t="s">
        <v>1931</v>
      </c>
      <c r="B32" s="305"/>
      <c r="C32" s="306">
        <v>50</v>
      </c>
      <c r="D32" s="306">
        <v>30</v>
      </c>
      <c r="E32" s="306">
        <v>65</v>
      </c>
      <c r="F32" s="306"/>
      <c r="G32" s="306">
        <v>50</v>
      </c>
      <c r="I32" s="352" t="s">
        <v>1795</v>
      </c>
      <c r="J32" s="353"/>
      <c r="K32" s="354"/>
      <c r="L32" s="355"/>
      <c r="M32" s="355" t="s">
        <v>2113</v>
      </c>
      <c r="N32" s="354"/>
      <c r="O32" s="354"/>
      <c r="P32" s="354"/>
      <c r="Q32" s="354"/>
      <c r="R32" s="356"/>
      <c r="S32" s="356"/>
      <c r="T32" s="367"/>
      <c r="U32" s="368"/>
    </row>
    <row r="33" spans="1:21" x14ac:dyDescent="0.2">
      <c r="A33" s="305" t="s">
        <v>1974</v>
      </c>
      <c r="B33" s="305"/>
      <c r="C33" s="306"/>
      <c r="D33" s="306"/>
      <c r="E33" s="306"/>
      <c r="F33" s="306"/>
      <c r="G33" s="306"/>
      <c r="I33" s="357" t="s">
        <v>1878</v>
      </c>
      <c r="J33" s="280"/>
      <c r="K33" s="226"/>
      <c r="L33" s="226"/>
      <c r="M33" s="226"/>
      <c r="N33" s="226"/>
      <c r="O33" s="226"/>
      <c r="P33" s="226"/>
      <c r="Q33" s="226"/>
      <c r="R33"/>
      <c r="S33"/>
      <c r="U33" s="369"/>
    </row>
    <row r="34" spans="1:21" x14ac:dyDescent="0.2">
      <c r="A34" s="305" t="s">
        <v>1975</v>
      </c>
      <c r="B34" s="305"/>
      <c r="C34" s="306"/>
      <c r="D34" s="306"/>
      <c r="E34" s="306"/>
      <c r="F34" s="306"/>
      <c r="G34" s="306"/>
      <c r="I34" s="363" t="s">
        <v>1882</v>
      </c>
      <c r="J34" s="280">
        <f>J36+L36</f>
        <v>0</v>
      </c>
      <c r="K34" s="227"/>
      <c r="L34" s="226"/>
      <c r="M34" s="364" t="s">
        <v>1880</v>
      </c>
      <c r="N34" s="280">
        <f>N36+P36</f>
        <v>0</v>
      </c>
      <c r="O34" s="227"/>
      <c r="P34" s="280"/>
      <c r="Q34" s="364" t="s">
        <v>1879</v>
      </c>
      <c r="R34" s="280">
        <f>R36+T36</f>
        <v>0</v>
      </c>
      <c r="S34" s="227"/>
      <c r="U34" s="369"/>
    </row>
    <row r="35" spans="1:21" x14ac:dyDescent="0.2">
      <c r="A35" s="305" t="s">
        <v>1976</v>
      </c>
      <c r="B35" s="305"/>
      <c r="C35" s="306"/>
      <c r="D35" s="306"/>
      <c r="E35" s="306"/>
      <c r="F35" s="306"/>
      <c r="G35" s="306"/>
      <c r="I35" s="363"/>
      <c r="J35" s="280"/>
      <c r="K35" s="227"/>
      <c r="L35" s="226"/>
      <c r="M35" s="364"/>
      <c r="N35" s="280"/>
      <c r="O35" s="227"/>
      <c r="P35" s="280"/>
      <c r="Q35" s="364"/>
      <c r="R35" s="280"/>
      <c r="S35" s="227"/>
      <c r="U35" s="369"/>
    </row>
    <row r="36" spans="1:21" x14ac:dyDescent="0.2">
      <c r="A36" s="298" t="s">
        <v>1932</v>
      </c>
      <c r="B36" s="298"/>
      <c r="C36" s="302"/>
      <c r="D36" s="302"/>
      <c r="E36" s="302"/>
      <c r="F36" s="302"/>
      <c r="G36" s="302" t="s">
        <v>1933</v>
      </c>
      <c r="I36" s="363" t="s">
        <v>1883</v>
      </c>
      <c r="J36" s="280">
        <f>SUM(J37:J39)</f>
        <v>0</v>
      </c>
      <c r="K36" s="364" t="s">
        <v>1887</v>
      </c>
      <c r="L36" s="280">
        <f>SUM(L37:L39)</f>
        <v>0</v>
      </c>
      <c r="M36" s="364" t="s">
        <v>1891</v>
      </c>
      <c r="N36" s="280">
        <f>SUM(N37:N39)</f>
        <v>0</v>
      </c>
      <c r="O36" s="364" t="s">
        <v>1895</v>
      </c>
      <c r="P36" s="280"/>
      <c r="Q36" s="364" t="s">
        <v>1899</v>
      </c>
      <c r="R36" s="280">
        <f>SUM(R37:R39)</f>
        <v>0</v>
      </c>
      <c r="S36" s="364" t="s">
        <v>1903</v>
      </c>
      <c r="U36" s="369"/>
    </row>
    <row r="37" spans="1:21" x14ac:dyDescent="0.2">
      <c r="A37" s="298" t="s">
        <v>1934</v>
      </c>
      <c r="B37" s="299"/>
      <c r="C37" s="302" t="s">
        <v>1935</v>
      </c>
      <c r="D37" s="302" t="s">
        <v>1936</v>
      </c>
      <c r="E37" s="302" t="s">
        <v>1937</v>
      </c>
      <c r="F37" s="302"/>
      <c r="G37" s="302" t="s">
        <v>1938</v>
      </c>
      <c r="I37" s="363" t="s">
        <v>1884</v>
      </c>
      <c r="J37" s="280"/>
      <c r="K37" s="364" t="s">
        <v>1888</v>
      </c>
      <c r="L37" s="280"/>
      <c r="M37" s="364" t="s">
        <v>1892</v>
      </c>
      <c r="N37" s="226"/>
      <c r="O37" s="364" t="s">
        <v>1896</v>
      </c>
      <c r="P37" s="280"/>
      <c r="Q37" s="364" t="s">
        <v>1900</v>
      </c>
      <c r="R37" s="280"/>
      <c r="S37" s="364" t="s">
        <v>1904</v>
      </c>
      <c r="U37" s="369"/>
    </row>
    <row r="38" spans="1:21" x14ac:dyDescent="0.2">
      <c r="A38" s="298" t="s">
        <v>1757</v>
      </c>
      <c r="B38" s="299"/>
      <c r="C38" s="303">
        <v>12</v>
      </c>
      <c r="D38" s="303">
        <v>25</v>
      </c>
      <c r="E38" s="303">
        <v>25</v>
      </c>
      <c r="F38" s="303">
        <v>2</v>
      </c>
      <c r="G38" s="303">
        <v>28</v>
      </c>
      <c r="I38" s="363" t="s">
        <v>1885</v>
      </c>
      <c r="J38" s="280"/>
      <c r="K38" s="364" t="s">
        <v>1889</v>
      </c>
      <c r="L38" s="280"/>
      <c r="M38" s="364" t="s">
        <v>1893</v>
      </c>
      <c r="N38" s="226"/>
      <c r="O38" s="364" t="s">
        <v>1897</v>
      </c>
      <c r="P38" s="280"/>
      <c r="Q38" s="364" t="s">
        <v>1901</v>
      </c>
      <c r="R38" s="280"/>
      <c r="S38" s="364" t="s">
        <v>1905</v>
      </c>
      <c r="U38" s="369"/>
    </row>
    <row r="39" spans="1:21" x14ac:dyDescent="0.2">
      <c r="A39" s="298"/>
      <c r="B39" s="299"/>
      <c r="C39" s="302"/>
      <c r="D39" s="302"/>
      <c r="E39" s="302"/>
      <c r="F39" s="302"/>
      <c r="G39" s="302"/>
      <c r="I39" s="363" t="s">
        <v>1886</v>
      </c>
      <c r="J39" s="280"/>
      <c r="K39" s="364" t="s">
        <v>1890</v>
      </c>
      <c r="L39" s="280"/>
      <c r="M39" s="364" t="s">
        <v>1894</v>
      </c>
      <c r="N39" s="226"/>
      <c r="O39" s="364" t="s">
        <v>1898</v>
      </c>
      <c r="P39" s="280"/>
      <c r="Q39" s="364" t="s">
        <v>1902</v>
      </c>
      <c r="R39" s="280"/>
      <c r="S39" s="364" t="s">
        <v>1906</v>
      </c>
      <c r="U39" s="369"/>
    </row>
    <row r="40" spans="1:21" x14ac:dyDescent="0.2">
      <c r="A40" s="298" t="s">
        <v>1939</v>
      </c>
      <c r="B40" s="299"/>
      <c r="C40" s="302" t="s">
        <v>1940</v>
      </c>
      <c r="D40" s="302" t="s">
        <v>1941</v>
      </c>
      <c r="E40" s="302" t="s">
        <v>1942</v>
      </c>
      <c r="F40" s="302" t="s">
        <v>1943</v>
      </c>
      <c r="G40" s="302" t="s">
        <v>1942</v>
      </c>
      <c r="I40" s="358"/>
      <c r="J40" s="226"/>
      <c r="K40" s="226"/>
      <c r="L40" s="226"/>
      <c r="M40" s="226"/>
      <c r="N40" s="226"/>
      <c r="O40" s="226"/>
      <c r="P40" s="226"/>
      <c r="Q40"/>
      <c r="R40"/>
      <c r="S40" s="365"/>
      <c r="U40" s="369"/>
    </row>
    <row r="41" spans="1:21" x14ac:dyDescent="0.2">
      <c r="A41" s="298" t="s">
        <v>1944</v>
      </c>
      <c r="B41" s="299"/>
      <c r="C41" s="302">
        <v>50</v>
      </c>
      <c r="D41" s="302">
        <v>50</v>
      </c>
      <c r="E41" s="302">
        <v>60</v>
      </c>
      <c r="F41" s="302">
        <v>20</v>
      </c>
      <c r="G41" s="302">
        <v>35</v>
      </c>
      <c r="I41" s="357" t="s">
        <v>1757</v>
      </c>
      <c r="J41" s="238" t="s">
        <v>1758</v>
      </c>
      <c r="K41" s="238" t="s">
        <v>22</v>
      </c>
      <c r="L41" s="238" t="s">
        <v>1759</v>
      </c>
      <c r="M41" s="238" t="s">
        <v>24</v>
      </c>
      <c r="N41" s="238" t="s">
        <v>25</v>
      </c>
      <c r="O41" s="238" t="s">
        <v>26</v>
      </c>
      <c r="P41" s="238" t="s">
        <v>27</v>
      </c>
      <c r="Q41"/>
      <c r="R41" s="238" t="s">
        <v>1881</v>
      </c>
      <c r="S41"/>
      <c r="U41" s="369"/>
    </row>
    <row r="42" spans="1:21" x14ac:dyDescent="0.2">
      <c r="A42" s="298" t="s">
        <v>137</v>
      </c>
      <c r="B42" s="299"/>
      <c r="C42" s="302" t="s">
        <v>1945</v>
      </c>
      <c r="D42" s="302" t="s">
        <v>1946</v>
      </c>
      <c r="E42" s="302" t="s">
        <v>1947</v>
      </c>
      <c r="F42" s="302"/>
      <c r="G42" s="302" t="s">
        <v>1948</v>
      </c>
      <c r="I42" s="358" t="s">
        <v>1761</v>
      </c>
      <c r="J42" s="279">
        <v>5</v>
      </c>
      <c r="K42" s="279">
        <v>5</v>
      </c>
      <c r="L42" s="279">
        <v>5</v>
      </c>
      <c r="M42" s="279">
        <v>25</v>
      </c>
      <c r="N42" s="279">
        <v>25</v>
      </c>
      <c r="O42" s="279">
        <v>5</v>
      </c>
      <c r="P42" s="279">
        <v>25</v>
      </c>
      <c r="Q42"/>
      <c r="R42"/>
      <c r="S42"/>
      <c r="U42" s="369"/>
    </row>
    <row r="43" spans="1:21" x14ac:dyDescent="0.2">
      <c r="A43" s="298"/>
      <c r="B43" s="299"/>
      <c r="C43" s="302"/>
      <c r="D43" s="302"/>
      <c r="E43" s="302"/>
      <c r="F43" s="302"/>
      <c r="G43" s="302"/>
      <c r="I43" s="358"/>
      <c r="J43" s="226"/>
      <c r="K43" s="226"/>
      <c r="L43" s="226"/>
      <c r="M43" s="226"/>
      <c r="N43" s="226"/>
      <c r="O43" s="226"/>
      <c r="P43" s="226"/>
      <c r="Q43"/>
      <c r="R43"/>
      <c r="S43"/>
      <c r="U43" s="369"/>
    </row>
    <row r="44" spans="1:21" x14ac:dyDescent="0.2">
      <c r="A44" s="298" t="s">
        <v>1939</v>
      </c>
      <c r="B44" s="299"/>
      <c r="C44" s="302" t="s">
        <v>1949</v>
      </c>
      <c r="D44" s="302"/>
      <c r="E44" s="302" t="s">
        <v>1950</v>
      </c>
      <c r="F44" s="302" t="s">
        <v>1951</v>
      </c>
      <c r="G44" s="302" t="s">
        <v>1943</v>
      </c>
      <c r="I44" s="359"/>
      <c r="J44"/>
      <c r="K44"/>
      <c r="L44"/>
      <c r="M44"/>
      <c r="N44"/>
      <c r="O44"/>
      <c r="P44"/>
      <c r="Q44"/>
      <c r="R44"/>
      <c r="S44"/>
      <c r="U44" s="369"/>
    </row>
    <row r="45" spans="1:21" x14ac:dyDescent="0.2">
      <c r="A45" s="298" t="s">
        <v>1944</v>
      </c>
      <c r="B45" s="299"/>
      <c r="C45" s="302">
        <v>45</v>
      </c>
      <c r="D45" s="302"/>
      <c r="E45" s="302">
        <v>50</v>
      </c>
      <c r="F45" s="302">
        <v>35</v>
      </c>
      <c r="G45" s="302">
        <v>40</v>
      </c>
      <c r="I45" s="357" t="s">
        <v>1939</v>
      </c>
      <c r="J45" s="229"/>
      <c r="K45" s="229" t="s">
        <v>1944</v>
      </c>
      <c r="L45" s="229"/>
      <c r="M45" s="229" t="s">
        <v>2114</v>
      </c>
      <c r="N45" s="229"/>
      <c r="O45" s="229"/>
      <c r="P45" s="229"/>
      <c r="Q45" s="229"/>
      <c r="R45" s="229"/>
      <c r="S45" s="229"/>
      <c r="T45" s="229"/>
      <c r="U45" s="369"/>
    </row>
    <row r="46" spans="1:21" x14ac:dyDescent="0.2">
      <c r="A46" s="298" t="s">
        <v>137</v>
      </c>
      <c r="B46" s="299"/>
      <c r="C46" s="302" t="s">
        <v>1952</v>
      </c>
      <c r="D46" s="302"/>
      <c r="E46" s="302" t="s">
        <v>1953</v>
      </c>
      <c r="F46" s="302"/>
      <c r="G46" s="302" t="s">
        <v>1954</v>
      </c>
      <c r="I46" s="357"/>
      <c r="J46" s="229"/>
      <c r="K46" s="229"/>
      <c r="L46" s="229"/>
      <c r="M46" s="229"/>
      <c r="N46" s="229"/>
      <c r="O46" s="229"/>
      <c r="P46" s="229"/>
      <c r="Q46" s="229"/>
      <c r="R46" s="229"/>
      <c r="S46" s="229"/>
      <c r="T46" s="229"/>
      <c r="U46" s="369"/>
    </row>
    <row r="47" spans="1:21" x14ac:dyDescent="0.2">
      <c r="A47" s="298"/>
      <c r="B47" s="299"/>
      <c r="C47" s="302"/>
      <c r="D47" s="302"/>
      <c r="E47" s="302"/>
      <c r="F47" s="302"/>
      <c r="G47" s="302"/>
      <c r="I47" s="357"/>
      <c r="J47" s="229"/>
      <c r="K47" s="229"/>
      <c r="L47" s="229"/>
      <c r="M47" s="229"/>
      <c r="N47" s="229"/>
      <c r="O47" s="229"/>
      <c r="P47" s="229"/>
      <c r="Q47" s="229"/>
      <c r="R47" s="229"/>
      <c r="S47" s="229"/>
      <c r="T47" s="229"/>
      <c r="U47" s="369"/>
    </row>
    <row r="48" spans="1:21" x14ac:dyDescent="0.2">
      <c r="A48" s="298" t="s">
        <v>1955</v>
      </c>
      <c r="B48" s="299"/>
      <c r="C48" s="302" t="s">
        <v>1956</v>
      </c>
      <c r="D48" s="304"/>
      <c r="E48" s="302"/>
      <c r="F48" s="302"/>
      <c r="G48" s="302" t="s">
        <v>1957</v>
      </c>
      <c r="I48" s="357"/>
      <c r="J48" s="229"/>
      <c r="K48" s="229"/>
      <c r="L48" s="229"/>
      <c r="M48" s="229"/>
      <c r="N48" s="229"/>
      <c r="O48" s="229"/>
      <c r="P48" s="229"/>
      <c r="Q48" s="229"/>
      <c r="R48" s="229"/>
      <c r="S48" s="229"/>
      <c r="T48" s="229"/>
      <c r="U48" s="369"/>
    </row>
    <row r="49" spans="1:21" x14ac:dyDescent="0.2">
      <c r="A49" s="298"/>
      <c r="B49" s="299"/>
      <c r="C49" s="302"/>
      <c r="D49" s="302"/>
      <c r="E49" s="302"/>
      <c r="F49" s="302"/>
      <c r="G49" s="302" t="s">
        <v>1958</v>
      </c>
      <c r="I49" s="357"/>
      <c r="J49" s="229"/>
      <c r="K49" s="229"/>
      <c r="L49" s="229"/>
      <c r="M49" s="229"/>
      <c r="N49" s="229"/>
      <c r="O49" s="229"/>
      <c r="P49" s="229"/>
      <c r="Q49" s="229"/>
      <c r="R49" s="229"/>
      <c r="S49" s="229"/>
      <c r="T49" s="229"/>
      <c r="U49" s="369"/>
    </row>
    <row r="50" spans="1:21" x14ac:dyDescent="0.2">
      <c r="A50" s="298"/>
      <c r="B50" s="299"/>
      <c r="C50" s="302"/>
      <c r="D50" s="302"/>
      <c r="E50" s="302"/>
      <c r="F50" s="302"/>
      <c r="G50" s="302" t="s">
        <v>1959</v>
      </c>
      <c r="I50" s="360" t="s">
        <v>1932</v>
      </c>
      <c r="J50" s="229"/>
      <c r="K50" s="229"/>
      <c r="L50" s="229"/>
      <c r="M50" s="229"/>
      <c r="N50" s="229"/>
      <c r="O50" s="366" t="s">
        <v>1960</v>
      </c>
      <c r="P50" s="229"/>
      <c r="Q50" s="229"/>
      <c r="R50" s="229"/>
      <c r="S50" s="229"/>
      <c r="T50" s="229"/>
      <c r="U50" s="369"/>
    </row>
    <row r="51" spans="1:21" x14ac:dyDescent="0.2">
      <c r="A51" s="298"/>
      <c r="B51" s="299"/>
      <c r="C51" s="302"/>
      <c r="D51" s="302"/>
      <c r="E51" s="302"/>
      <c r="F51" s="302"/>
      <c r="G51" s="302"/>
      <c r="I51" s="360"/>
      <c r="J51" s="229"/>
      <c r="K51" s="229"/>
      <c r="L51" s="229"/>
      <c r="M51" s="229"/>
      <c r="N51" s="229"/>
      <c r="O51" s="229"/>
      <c r="P51" s="229"/>
      <c r="Q51" s="229"/>
      <c r="R51" s="229"/>
      <c r="S51" s="229"/>
      <c r="T51" s="229"/>
      <c r="U51" s="369"/>
    </row>
    <row r="52" spans="1:21" x14ac:dyDescent="0.2">
      <c r="A52" s="298"/>
      <c r="B52" s="299"/>
      <c r="C52" s="302"/>
      <c r="D52" s="302"/>
      <c r="E52" s="302"/>
      <c r="F52" s="302"/>
      <c r="G52" s="302"/>
      <c r="I52" s="360" t="s">
        <v>1934</v>
      </c>
      <c r="J52" s="229"/>
      <c r="K52" s="229"/>
      <c r="L52" s="229"/>
      <c r="M52" s="229"/>
      <c r="N52" s="229"/>
      <c r="O52" s="229"/>
      <c r="P52" s="229"/>
      <c r="Q52" s="229"/>
      <c r="R52" s="229"/>
      <c r="S52" s="229"/>
      <c r="T52" s="229"/>
      <c r="U52" s="369"/>
    </row>
    <row r="53" spans="1:21" x14ac:dyDescent="0.2">
      <c r="A53" s="298"/>
      <c r="B53" s="299"/>
      <c r="C53" s="302"/>
      <c r="D53" s="302"/>
      <c r="E53" s="302"/>
      <c r="F53" s="302"/>
      <c r="G53" s="302"/>
      <c r="I53" s="360"/>
      <c r="J53" s="229"/>
      <c r="K53" s="229"/>
      <c r="L53" s="229"/>
      <c r="M53" s="229"/>
      <c r="N53" s="229"/>
      <c r="O53" s="229"/>
      <c r="P53" s="229"/>
      <c r="Q53" s="229"/>
      <c r="R53" s="229"/>
      <c r="S53" s="229"/>
      <c r="T53" s="229"/>
      <c r="U53" s="369"/>
    </row>
    <row r="54" spans="1:21" x14ac:dyDescent="0.2">
      <c r="A54" s="298" t="s">
        <v>1960</v>
      </c>
      <c r="B54" s="299"/>
      <c r="C54" s="302"/>
      <c r="D54" s="302"/>
      <c r="E54" s="302" t="s">
        <v>1961</v>
      </c>
      <c r="F54" s="302"/>
      <c r="G54" s="302" t="s">
        <v>1962</v>
      </c>
      <c r="I54" s="357" t="s">
        <v>2115</v>
      </c>
      <c r="J54" s="229"/>
      <c r="K54" s="229"/>
      <c r="L54" s="229"/>
      <c r="M54" s="229"/>
      <c r="N54" s="229"/>
      <c r="O54" s="229"/>
      <c r="P54" s="229"/>
      <c r="Q54" s="229"/>
      <c r="R54" s="229"/>
      <c r="S54" s="229"/>
      <c r="T54" s="229"/>
      <c r="U54" s="369"/>
    </row>
    <row r="55" spans="1:21" x14ac:dyDescent="0.2">
      <c r="A55" s="298"/>
      <c r="B55" s="299"/>
      <c r="C55" s="302"/>
      <c r="D55" s="302"/>
      <c r="E55" s="302" t="s">
        <v>1963</v>
      </c>
      <c r="F55" s="302"/>
      <c r="G55" s="302" t="s">
        <v>1964</v>
      </c>
      <c r="I55" s="357"/>
      <c r="J55" s="229"/>
      <c r="K55" s="229"/>
      <c r="L55" s="229"/>
      <c r="M55" s="229"/>
      <c r="N55" s="229"/>
      <c r="O55" s="229"/>
      <c r="P55" s="229"/>
      <c r="Q55" s="229"/>
      <c r="R55" s="229"/>
      <c r="S55" s="229"/>
      <c r="T55" s="229"/>
      <c r="U55" s="369"/>
    </row>
    <row r="56" spans="1:21" x14ac:dyDescent="0.2">
      <c r="A56" s="298"/>
      <c r="B56" s="299"/>
      <c r="C56" s="302"/>
      <c r="D56" s="302"/>
      <c r="E56" s="302"/>
      <c r="F56" s="302"/>
      <c r="G56" s="302" t="s">
        <v>1965</v>
      </c>
      <c r="I56" s="357"/>
      <c r="J56" s="229"/>
      <c r="K56" s="229"/>
      <c r="L56" s="229"/>
      <c r="M56" s="229"/>
      <c r="N56" s="229"/>
      <c r="O56" s="229"/>
      <c r="P56" s="229"/>
      <c r="Q56" s="229"/>
      <c r="R56" s="229"/>
      <c r="S56" s="229"/>
      <c r="T56" s="229"/>
      <c r="U56" s="369"/>
    </row>
    <row r="57" spans="1:21" x14ac:dyDescent="0.2">
      <c r="A57" s="298"/>
      <c r="B57" s="299"/>
      <c r="C57" s="302"/>
      <c r="D57" s="302"/>
      <c r="E57" s="302" t="s">
        <v>1966</v>
      </c>
      <c r="F57" s="302"/>
      <c r="G57" s="302" t="s">
        <v>1967</v>
      </c>
      <c r="I57" s="357"/>
      <c r="J57" s="229"/>
      <c r="K57" s="229"/>
      <c r="L57" s="229"/>
      <c r="M57" s="229"/>
      <c r="N57" s="229"/>
      <c r="O57" s="229"/>
      <c r="P57" s="229"/>
      <c r="Q57" s="229"/>
      <c r="R57" s="229"/>
      <c r="S57" s="229"/>
      <c r="T57" s="229"/>
      <c r="U57" s="369"/>
    </row>
    <row r="58" spans="1:21" x14ac:dyDescent="0.2">
      <c r="A58" s="298"/>
      <c r="B58" s="299"/>
      <c r="C58" s="302"/>
      <c r="D58" s="302"/>
      <c r="E58" s="302"/>
      <c r="F58" s="302"/>
      <c r="G58" s="302" t="s">
        <v>1968</v>
      </c>
      <c r="I58" s="357"/>
      <c r="J58" s="229"/>
      <c r="K58" s="229"/>
      <c r="L58" s="229"/>
      <c r="M58" s="229"/>
      <c r="N58" s="229"/>
      <c r="O58" s="229"/>
      <c r="P58" s="229"/>
      <c r="Q58" s="229"/>
      <c r="R58" s="229"/>
      <c r="S58" s="229"/>
      <c r="T58" s="229"/>
      <c r="U58" s="369"/>
    </row>
    <row r="59" spans="1:21" ht="13.5" thickBot="1" x14ac:dyDescent="0.25">
      <c r="A59" s="298"/>
      <c r="B59" s="299"/>
      <c r="C59" s="302"/>
      <c r="D59" s="302"/>
      <c r="E59" s="302" t="s">
        <v>1969</v>
      </c>
      <c r="F59" s="302"/>
      <c r="G59" s="302"/>
      <c r="I59" s="361"/>
      <c r="J59" s="362"/>
      <c r="K59" s="362"/>
      <c r="L59" s="362"/>
      <c r="M59" s="362"/>
      <c r="N59" s="362"/>
      <c r="O59" s="362"/>
      <c r="P59" s="362"/>
      <c r="Q59" s="362"/>
      <c r="R59" s="362"/>
      <c r="S59" s="362"/>
      <c r="T59" s="362"/>
      <c r="U59" s="370"/>
    </row>
    <row r="60" spans="1:21" x14ac:dyDescent="0.2">
      <c r="A60" s="298"/>
      <c r="B60" s="299"/>
      <c r="C60" s="302"/>
      <c r="D60" s="302"/>
      <c r="E60" s="302" t="s">
        <v>1970</v>
      </c>
      <c r="F60" s="302"/>
      <c r="G60" s="302"/>
    </row>
    <row r="61" spans="1:21" x14ac:dyDescent="0.2">
      <c r="A61" s="298"/>
      <c r="B61" s="299"/>
      <c r="C61" s="302"/>
      <c r="D61" s="302"/>
      <c r="E61" s="302"/>
      <c r="F61" s="302"/>
      <c r="G61" s="302"/>
    </row>
    <row r="62" spans="1:21" x14ac:dyDescent="0.2">
      <c r="A62" s="298"/>
      <c r="B62" s="299"/>
      <c r="C62" s="300"/>
      <c r="D62" s="300"/>
      <c r="E62" s="300"/>
      <c r="F62" s="300"/>
      <c r="G62" s="30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E2F5-EA79-4BA1-B3D5-8F8B1E76F43A}">
  <sheetPr>
    <tabColor rgb="FF65D7FF"/>
  </sheetPr>
  <dimension ref="A1:AK93"/>
  <sheetViews>
    <sheetView zoomScaleNormal="100" workbookViewId="0">
      <selection activeCell="F24" sqref="F24"/>
    </sheetView>
  </sheetViews>
  <sheetFormatPr defaultRowHeight="12.75" x14ac:dyDescent="0.2"/>
  <cols>
    <col min="1" max="1" width="3.5" customWidth="1"/>
    <col min="2" max="2" width="4.5" customWidth="1"/>
    <col min="5" max="5" width="5.25" customWidth="1"/>
    <col min="6" max="6" width="7.875" customWidth="1"/>
    <col min="7" max="7" width="4.625" customWidth="1"/>
    <col min="10" max="10" width="5.875" customWidth="1"/>
    <col min="11" max="11" width="9.75" customWidth="1"/>
    <col min="12" max="12" width="6.875" customWidth="1"/>
    <col min="13" max="13" width="5.625" customWidth="1"/>
    <col min="14" max="14" width="2.625" customWidth="1"/>
    <col min="15" max="15" width="27.375" customWidth="1"/>
    <col min="16" max="17" width="6.625" customWidth="1"/>
    <col min="18" max="23" width="7.625" customWidth="1"/>
    <col min="24" max="24" width="2.5" customWidth="1"/>
    <col min="25" max="25" width="3.5" customWidth="1"/>
    <col min="26" max="35" width="7.625" customWidth="1"/>
  </cols>
  <sheetData>
    <row r="1" spans="1:37" ht="19.5" thickBot="1" x14ac:dyDescent="0.35">
      <c r="A1" s="212"/>
      <c r="B1" s="436" t="str">
        <f>IF(HPName&lt;&gt;"", HPName, "")</f>
        <v/>
      </c>
      <c r="C1" s="436"/>
      <c r="D1" s="437"/>
      <c r="E1" s="437"/>
      <c r="F1" s="438"/>
      <c r="G1" s="954" t="s">
        <v>2987</v>
      </c>
      <c r="H1" s="213"/>
      <c r="I1" s="214"/>
      <c r="J1" s="215"/>
      <c r="K1" s="215"/>
      <c r="L1" s="213"/>
      <c r="P1" s="211"/>
      <c r="Q1" s="211"/>
      <c r="R1" s="211"/>
      <c r="S1" s="211"/>
      <c r="T1" s="211"/>
      <c r="U1" s="211"/>
      <c r="V1" s="211"/>
      <c r="W1" s="211"/>
      <c r="Y1" s="371"/>
      <c r="Z1" s="371"/>
      <c r="AA1" s="371"/>
      <c r="AB1" s="371"/>
      <c r="AC1" s="371"/>
      <c r="AD1" s="371"/>
      <c r="AE1" s="371"/>
      <c r="AF1" s="371"/>
      <c r="AG1" s="371"/>
      <c r="AH1" s="371"/>
      <c r="AI1" s="371"/>
      <c r="AJ1" s="371"/>
      <c r="AK1" s="371"/>
    </row>
    <row r="2" spans="1:37" ht="13.5" thickBot="1" x14ac:dyDescent="0.25">
      <c r="A2" s="191"/>
      <c r="B2" s="216" t="s">
        <v>16</v>
      </c>
      <c r="C2" s="217"/>
      <c r="D2" s="218" t="s">
        <v>17</v>
      </c>
      <c r="E2" s="219">
        <f>MM+MR</f>
        <v>0</v>
      </c>
      <c r="F2" s="220"/>
      <c r="G2" s="221" t="s">
        <v>47</v>
      </c>
      <c r="H2" s="222"/>
      <c r="I2" s="220"/>
      <c r="J2" s="469"/>
      <c r="K2" s="941" t="s">
        <v>2103</v>
      </c>
      <c r="L2" s="507">
        <f>MMS+MRS</f>
        <v>0</v>
      </c>
      <c r="M2" s="439"/>
      <c r="N2" s="439"/>
      <c r="O2" s="494" t="s">
        <v>1750</v>
      </c>
      <c r="P2" s="495" t="s">
        <v>115</v>
      </c>
      <c r="Q2" s="495" t="s">
        <v>2214</v>
      </c>
      <c r="R2" s="496" t="s">
        <v>1751</v>
      </c>
      <c r="S2" s="497" t="s">
        <v>1752</v>
      </c>
      <c r="T2" s="498" t="s">
        <v>1753</v>
      </c>
      <c r="U2" s="499" t="s">
        <v>1754</v>
      </c>
      <c r="V2" s="500" t="s">
        <v>1755</v>
      </c>
      <c r="W2" s="501" t="s">
        <v>1756</v>
      </c>
      <c r="Y2" s="371"/>
      <c r="Z2" s="215" t="s">
        <v>1764</v>
      </c>
      <c r="AA2" s="244"/>
      <c r="AB2" s="244"/>
      <c r="AC2" s="244"/>
      <c r="AD2" s="244"/>
      <c r="AE2" s="244"/>
      <c r="AF2" s="244"/>
      <c r="AG2" s="244"/>
      <c r="AH2" s="244"/>
      <c r="AJ2" s="371"/>
      <c r="AK2" s="371"/>
    </row>
    <row r="3" spans="1:37" x14ac:dyDescent="0.2">
      <c r="A3" s="191"/>
      <c r="B3" s="225" t="s">
        <v>30</v>
      </c>
      <c r="C3" s="226"/>
      <c r="D3" s="227" t="s">
        <v>31</v>
      </c>
      <c r="E3" s="228">
        <f>SUM(E4:E6)</f>
        <v>0</v>
      </c>
      <c r="F3" s="229"/>
      <c r="G3" s="226" t="s">
        <v>32</v>
      </c>
      <c r="H3" s="229"/>
      <c r="I3" s="227" t="s">
        <v>33</v>
      </c>
      <c r="J3" s="135">
        <f>MRC+MRP+MRS</f>
        <v>0</v>
      </c>
      <c r="K3" s="942" t="s">
        <v>2985</v>
      </c>
      <c r="L3" s="508">
        <f>MPerceptn</f>
        <v>0</v>
      </c>
      <c r="M3" s="439"/>
      <c r="N3" s="439"/>
      <c r="O3" s="231" t="str">
        <f>IF(' HPSheet'!$D$61&lt;&gt;"",' HPSheet'!$D$61,"")</f>
        <v>Etiquette/Social Graces</v>
      </c>
      <c r="P3" s="458">
        <f>IF(' HPSheet'!H61&lt;&gt;"",' HPSheet'!H61,0)</f>
        <v>0</v>
      </c>
      <c r="Q3" s="506">
        <v>0</v>
      </c>
      <c r="R3" s="502">
        <f>(P3+Q3)*3</f>
        <v>0</v>
      </c>
      <c r="S3" s="340">
        <f>(P3+Q3)*2</f>
        <v>0</v>
      </c>
      <c r="T3" s="350">
        <f>P3+Q3</f>
        <v>0</v>
      </c>
      <c r="U3" s="503">
        <f>INT((P3+Q3)*0.5)</f>
        <v>0</v>
      </c>
      <c r="V3" s="455">
        <f>INT((P3+Q3)*0.25)</f>
        <v>0</v>
      </c>
      <c r="W3" s="504">
        <f>INT((P3+Q3)*0.1)</f>
        <v>0</v>
      </c>
      <c r="Y3" s="371"/>
      <c r="Z3" s="215" t="s">
        <v>1766</v>
      </c>
      <c r="AA3" s="213" t="s">
        <v>1767</v>
      </c>
      <c r="AB3" s="213" t="s">
        <v>1768</v>
      </c>
      <c r="AC3" s="213" t="s">
        <v>1769</v>
      </c>
      <c r="AD3" s="213" t="s">
        <v>1770</v>
      </c>
      <c r="AE3" s="213" t="s">
        <v>1771</v>
      </c>
      <c r="AF3" s="213" t="s">
        <v>1772</v>
      </c>
      <c r="AG3" s="213" t="s">
        <v>1773</v>
      </c>
      <c r="AH3" s="213" t="s">
        <v>1774</v>
      </c>
      <c r="AI3" s="213" t="s">
        <v>1775</v>
      </c>
      <c r="AJ3" s="371"/>
      <c r="AK3" s="371"/>
    </row>
    <row r="4" spans="1:37" x14ac:dyDescent="0.2">
      <c r="A4" s="191"/>
      <c r="B4" s="225"/>
      <c r="C4" s="226" t="s">
        <v>34</v>
      </c>
      <c r="D4" s="227" t="s">
        <v>35</v>
      </c>
      <c r="E4" s="228">
        <f>MMC</f>
        <v>0</v>
      </c>
      <c r="F4" s="229"/>
      <c r="G4" s="226"/>
      <c r="H4" s="226" t="s">
        <v>34</v>
      </c>
      <c r="I4" s="227" t="s">
        <v>36</v>
      </c>
      <c r="J4" s="135">
        <f>MRC</f>
        <v>0</v>
      </c>
      <c r="K4" s="942"/>
      <c r="L4" s="508"/>
      <c r="M4" s="439"/>
      <c r="N4" s="439"/>
      <c r="O4" s="231" t="str">
        <f>IF(' HPSheet'!D62&lt;&gt;"",' HPSheet'!D62,"")</f>
        <v>Native Tongue</v>
      </c>
      <c r="P4" s="456">
        <f>IF(' HPSheet'!H62&lt;&gt;"",' HPSheet'!H62,0)</f>
        <v>0</v>
      </c>
      <c r="Q4" s="492">
        <v>0</v>
      </c>
      <c r="R4" s="502">
        <f>(P4+Q4)*3</f>
        <v>0</v>
      </c>
      <c r="S4" s="340">
        <f>(P4+Q4)*2</f>
        <v>0</v>
      </c>
      <c r="T4" s="350">
        <f>P4+Q4</f>
        <v>0</v>
      </c>
      <c r="U4" s="503">
        <f>INT((P4+Q4)*0.5)</f>
        <v>0</v>
      </c>
      <c r="V4" s="455">
        <f>INT((P4+Q4)*0.25)</f>
        <v>0</v>
      </c>
      <c r="W4" s="504">
        <f>INT((P4+Q4)*0.1)</f>
        <v>0</v>
      </c>
      <c r="Y4" s="371"/>
      <c r="Z4" s="247" t="s">
        <v>1777</v>
      </c>
      <c r="AA4" s="248" t="s">
        <v>1752</v>
      </c>
      <c r="AB4" s="249" t="s">
        <v>1753</v>
      </c>
      <c r="AC4" s="250" t="s">
        <v>1754</v>
      </c>
      <c r="AD4" s="251" t="s">
        <v>1755</v>
      </c>
      <c r="AE4" s="252" t="s">
        <v>1778</v>
      </c>
      <c r="AF4" s="253" t="s">
        <v>1779</v>
      </c>
      <c r="AG4" s="253" t="s">
        <v>1779</v>
      </c>
      <c r="AH4" s="253" t="s">
        <v>1779</v>
      </c>
      <c r="AI4" s="253" t="s">
        <v>1779</v>
      </c>
      <c r="AJ4" s="371"/>
      <c r="AK4" s="371"/>
    </row>
    <row r="5" spans="1:37" x14ac:dyDescent="0.2">
      <c r="A5" s="191"/>
      <c r="B5" s="225"/>
      <c r="C5" s="226" t="s">
        <v>37</v>
      </c>
      <c r="D5" s="227" t="s">
        <v>38</v>
      </c>
      <c r="E5" s="228">
        <f>MMP</f>
        <v>0</v>
      </c>
      <c r="F5" s="229"/>
      <c r="G5" s="226"/>
      <c r="H5" s="226" t="s">
        <v>37</v>
      </c>
      <c r="I5" s="227" t="s">
        <v>39</v>
      </c>
      <c r="J5" s="135">
        <f>MRP</f>
        <v>0</v>
      </c>
      <c r="K5" s="942"/>
      <c r="L5" s="508"/>
      <c r="M5" s="439"/>
      <c r="N5" s="439"/>
      <c r="O5" s="231" t="str">
        <f>IF(' HPSheet'!D63&lt;&gt;"",' HPSheet'!D63,"")</f>
        <v xml:space="preserve">Riding </v>
      </c>
      <c r="P5" s="456">
        <f>IF(' HPSheet'!H63&lt;&gt;"",' HPSheet'!H63,0)</f>
        <v>0</v>
      </c>
      <c r="Q5" s="492">
        <v>0</v>
      </c>
      <c r="R5" s="502">
        <f t="shared" ref="R5:R9" si="0">(P5+Q5)*3</f>
        <v>0</v>
      </c>
      <c r="S5" s="340">
        <f t="shared" ref="S5:S9" si="1">(P5+Q5)*2</f>
        <v>0</v>
      </c>
      <c r="T5" s="350">
        <f t="shared" ref="T5:T9" si="2">P5+Q5</f>
        <v>0</v>
      </c>
      <c r="U5" s="503">
        <f t="shared" ref="U5:U9" si="3">INT((P5+Q5)*0.5)</f>
        <v>0</v>
      </c>
      <c r="V5" s="455">
        <f t="shared" ref="V5:V9" si="4">INT((P5+Q5)*0.25)</f>
        <v>0</v>
      </c>
      <c r="W5" s="504">
        <f t="shared" ref="W5:W9" si="5">INT((P5+Q5)*0.1)</f>
        <v>0</v>
      </c>
      <c r="Y5" s="371"/>
      <c r="Z5" s="245" t="s">
        <v>1780</v>
      </c>
      <c r="AA5" s="254" t="s">
        <v>1751</v>
      </c>
      <c r="AB5" s="248" t="s">
        <v>1752</v>
      </c>
      <c r="AC5" s="249" t="s">
        <v>1753</v>
      </c>
      <c r="AD5" s="250" t="s">
        <v>1754</v>
      </c>
      <c r="AE5" s="251" t="s">
        <v>1755</v>
      </c>
      <c r="AF5" s="252" t="s">
        <v>1778</v>
      </c>
      <c r="AG5" s="253" t="s">
        <v>1779</v>
      </c>
      <c r="AH5" s="253" t="s">
        <v>1779</v>
      </c>
      <c r="AI5" s="253" t="s">
        <v>1779</v>
      </c>
      <c r="AJ5" s="371"/>
      <c r="AK5" s="371"/>
    </row>
    <row r="6" spans="1:37" x14ac:dyDescent="0.2">
      <c r="A6" s="191"/>
      <c r="B6" s="231"/>
      <c r="C6" s="157" t="s">
        <v>40</v>
      </c>
      <c r="D6" s="232" t="s">
        <v>41</v>
      </c>
      <c r="E6" s="228">
        <f>MMS</f>
        <v>0</v>
      </c>
      <c r="F6" s="233"/>
      <c r="G6" s="157"/>
      <c r="H6" s="157" t="s">
        <v>40</v>
      </c>
      <c r="I6" s="232" t="s">
        <v>42</v>
      </c>
      <c r="J6" s="135">
        <f>MRS</f>
        <v>0</v>
      </c>
      <c r="K6" s="943"/>
      <c r="L6" s="509"/>
      <c r="M6" s="439"/>
      <c r="N6" s="439"/>
      <c r="O6" s="231" t="str">
        <f>IF(' HPSheet'!D64&lt;&gt;"",' HPSheet'!D64,"")</f>
        <v>Trade Language/Nature Tongue</v>
      </c>
      <c r="P6" s="456">
        <f>IF(' HPSheet'!H64&lt;&gt;"",' HPSheet'!H64,0)</f>
        <v>0</v>
      </c>
      <c r="Q6" s="492">
        <v>0</v>
      </c>
      <c r="R6" s="502">
        <f t="shared" si="0"/>
        <v>0</v>
      </c>
      <c r="S6" s="340">
        <f t="shared" si="1"/>
        <v>0</v>
      </c>
      <c r="T6" s="350">
        <f t="shared" si="2"/>
        <v>0</v>
      </c>
      <c r="U6" s="503">
        <f t="shared" si="3"/>
        <v>0</v>
      </c>
      <c r="V6" s="455">
        <f t="shared" si="4"/>
        <v>0</v>
      </c>
      <c r="W6" s="504">
        <f t="shared" si="5"/>
        <v>0</v>
      </c>
      <c r="Y6" s="371"/>
      <c r="Z6" s="255" t="s">
        <v>1782</v>
      </c>
      <c r="AA6" s="256" t="s">
        <v>1751</v>
      </c>
      <c r="AB6" s="256" t="s">
        <v>1751</v>
      </c>
      <c r="AC6" s="257" t="s">
        <v>1752</v>
      </c>
      <c r="AD6" s="258" t="s">
        <v>1753</v>
      </c>
      <c r="AE6" s="259" t="s">
        <v>1754</v>
      </c>
      <c r="AF6" s="260" t="s">
        <v>1755</v>
      </c>
      <c r="AG6" s="261" t="s">
        <v>1778</v>
      </c>
      <c r="AH6" s="262" t="s">
        <v>1779</v>
      </c>
      <c r="AI6" s="263" t="s">
        <v>1779</v>
      </c>
    </row>
    <row r="7" spans="1:37" x14ac:dyDescent="0.2">
      <c r="A7" s="191"/>
      <c r="B7" s="953" t="s">
        <v>43</v>
      </c>
      <c r="C7" s="950"/>
      <c r="D7" s="951" t="s">
        <v>44</v>
      </c>
      <c r="E7" s="219">
        <f>PM+PN</f>
        <v>0</v>
      </c>
      <c r="F7" s="950"/>
      <c r="G7" s="951" t="s">
        <v>2200</v>
      </c>
      <c r="H7" s="952">
        <f>PNS+40</f>
        <v>40</v>
      </c>
      <c r="I7" s="234" t="s">
        <v>2201</v>
      </c>
      <c r="J7" s="470">
        <f>H7/10</f>
        <v>4</v>
      </c>
      <c r="K7" s="944" t="s">
        <v>2103</v>
      </c>
      <c r="L7" s="510">
        <f>PMS+PNS</f>
        <v>0</v>
      </c>
      <c r="M7" s="440"/>
      <c r="N7" s="440"/>
      <c r="O7" s="231" t="str">
        <f>IF(' HPSheet'!D65&lt;&gt;"",' HPSheet'!D65,"")</f>
        <v>Current Events</v>
      </c>
      <c r="P7" s="456">
        <f>IF(' HPSheet'!H65&lt;&gt;"",' HPSheet'!H65,0)</f>
        <v>0</v>
      </c>
      <c r="Q7" s="492">
        <v>0</v>
      </c>
      <c r="R7" s="502">
        <f t="shared" si="0"/>
        <v>0</v>
      </c>
      <c r="S7" s="340">
        <f t="shared" si="1"/>
        <v>0</v>
      </c>
      <c r="T7" s="350">
        <f t="shared" si="2"/>
        <v>0</v>
      </c>
      <c r="U7" s="503">
        <f t="shared" si="3"/>
        <v>0</v>
      </c>
      <c r="V7" s="455">
        <f t="shared" si="4"/>
        <v>0</v>
      </c>
      <c r="W7" s="504">
        <f t="shared" si="5"/>
        <v>0</v>
      </c>
      <c r="Y7" s="371"/>
      <c r="Z7" s="245" t="s">
        <v>1784</v>
      </c>
      <c r="AA7" s="254" t="s">
        <v>1751</v>
      </c>
      <c r="AB7" s="254" t="s">
        <v>1751</v>
      </c>
      <c r="AC7" s="254" t="s">
        <v>1751</v>
      </c>
      <c r="AD7" s="248" t="s">
        <v>1752</v>
      </c>
      <c r="AE7" s="249" t="s">
        <v>1753</v>
      </c>
      <c r="AF7" s="250" t="s">
        <v>1754</v>
      </c>
      <c r="AG7" s="251" t="s">
        <v>1755</v>
      </c>
      <c r="AH7" s="252" t="s">
        <v>1778</v>
      </c>
      <c r="AI7" s="253" t="s">
        <v>1779</v>
      </c>
    </row>
    <row r="8" spans="1:37" x14ac:dyDescent="0.2">
      <c r="A8" s="191"/>
      <c r="B8" s="225" t="s">
        <v>59</v>
      </c>
      <c r="C8" s="226"/>
      <c r="D8" s="227" t="s">
        <v>60</v>
      </c>
      <c r="E8" s="228">
        <f>PMC+PMP+PMS</f>
        <v>0</v>
      </c>
      <c r="F8" s="229"/>
      <c r="G8" s="226" t="s">
        <v>61</v>
      </c>
      <c r="H8" s="226"/>
      <c r="I8" s="227" t="s">
        <v>62</v>
      </c>
      <c r="J8" s="135">
        <f>PNC+PNP+PNS</f>
        <v>0</v>
      </c>
      <c r="K8" s="945" t="s">
        <v>2986</v>
      </c>
      <c r="L8" s="511">
        <f>PPerceptn</f>
        <v>0</v>
      </c>
      <c r="M8" s="440"/>
      <c r="N8" s="440"/>
      <c r="O8" s="231" t="str">
        <f>IF(' HPSheet'!D66&lt;&gt;"",' HPSheet'!D66,"")</f>
        <v>Perception, Mental</v>
      </c>
      <c r="P8" s="456">
        <f>IF(' HPSheet'!H66&lt;&gt;"",' HPSheet'!H66,0)</f>
        <v>0</v>
      </c>
      <c r="Q8" s="492">
        <v>0</v>
      </c>
      <c r="R8" s="502">
        <f t="shared" si="0"/>
        <v>0</v>
      </c>
      <c r="S8" s="340">
        <f t="shared" si="1"/>
        <v>0</v>
      </c>
      <c r="T8" s="350">
        <f t="shared" si="2"/>
        <v>0</v>
      </c>
      <c r="U8" s="503">
        <f t="shared" si="3"/>
        <v>0</v>
      </c>
      <c r="V8" s="455">
        <f t="shared" si="4"/>
        <v>0</v>
      </c>
      <c r="W8" s="504">
        <f t="shared" si="5"/>
        <v>0</v>
      </c>
      <c r="Y8" s="371"/>
      <c r="Z8" s="245" t="s">
        <v>1785</v>
      </c>
      <c r="AA8" s="254" t="s">
        <v>1751</v>
      </c>
      <c r="AB8" s="254" t="s">
        <v>1751</v>
      </c>
      <c r="AC8" s="254" t="s">
        <v>1751</v>
      </c>
      <c r="AD8" s="254" t="s">
        <v>1751</v>
      </c>
      <c r="AE8" s="248" t="s">
        <v>1752</v>
      </c>
      <c r="AF8" s="249" t="s">
        <v>1753</v>
      </c>
      <c r="AG8" s="250" t="s">
        <v>1754</v>
      </c>
      <c r="AH8" s="251" t="s">
        <v>1755</v>
      </c>
      <c r="AI8" s="252" t="s">
        <v>1778</v>
      </c>
    </row>
    <row r="9" spans="1:37" x14ac:dyDescent="0.2">
      <c r="A9" s="191"/>
      <c r="B9" s="225"/>
      <c r="C9" s="226" t="s">
        <v>34</v>
      </c>
      <c r="D9" s="227" t="s">
        <v>63</v>
      </c>
      <c r="E9" s="228">
        <f>PMC</f>
        <v>0</v>
      </c>
      <c r="F9" s="229"/>
      <c r="G9" s="226"/>
      <c r="H9" s="226" t="s">
        <v>34</v>
      </c>
      <c r="I9" s="227" t="s">
        <v>64</v>
      </c>
      <c r="J9" s="135">
        <f>PNC</f>
        <v>0</v>
      </c>
      <c r="K9" s="945"/>
      <c r="L9" s="511"/>
      <c r="M9" s="440"/>
      <c r="N9" s="440"/>
      <c r="O9" s="231" t="str">
        <f>IF(' HPSheet'!D67&lt;&gt;"",' HPSheet'!D67,"")</f>
        <v>Perception, Physical</v>
      </c>
      <c r="P9" s="456">
        <f>IF(' HPSheet'!H67&lt;&gt;"",' HPSheet'!H67,0)</f>
        <v>0</v>
      </c>
      <c r="Q9" s="492">
        <v>0</v>
      </c>
      <c r="R9" s="502">
        <f t="shared" si="0"/>
        <v>0</v>
      </c>
      <c r="S9" s="340">
        <f t="shared" si="1"/>
        <v>0</v>
      </c>
      <c r="T9" s="350">
        <f t="shared" si="2"/>
        <v>0</v>
      </c>
      <c r="U9" s="503">
        <f t="shared" si="3"/>
        <v>0</v>
      </c>
      <c r="V9" s="455">
        <f t="shared" si="4"/>
        <v>0</v>
      </c>
      <c r="W9" s="504">
        <f t="shared" si="5"/>
        <v>0</v>
      </c>
      <c r="Y9" s="371"/>
      <c r="Z9" s="255" t="s">
        <v>1787</v>
      </c>
      <c r="AA9" s="256" t="s">
        <v>1751</v>
      </c>
      <c r="AB9" s="256" t="s">
        <v>1751</v>
      </c>
      <c r="AC9" s="256" t="s">
        <v>1751</v>
      </c>
      <c r="AD9" s="256" t="s">
        <v>1751</v>
      </c>
      <c r="AE9" s="256" t="s">
        <v>1751</v>
      </c>
      <c r="AF9" s="257" t="s">
        <v>1752</v>
      </c>
      <c r="AG9" s="258" t="s">
        <v>1753</v>
      </c>
      <c r="AH9" s="259" t="s">
        <v>1754</v>
      </c>
      <c r="AI9" s="264" t="s">
        <v>1755</v>
      </c>
    </row>
    <row r="10" spans="1:37" x14ac:dyDescent="0.2">
      <c r="A10" s="191"/>
      <c r="B10" s="225"/>
      <c r="C10" s="226" t="s">
        <v>37</v>
      </c>
      <c r="D10" s="227" t="s">
        <v>65</v>
      </c>
      <c r="E10" s="228">
        <f>PMP</f>
        <v>0</v>
      </c>
      <c r="F10" s="229"/>
      <c r="G10" s="226"/>
      <c r="H10" s="226" t="s">
        <v>37</v>
      </c>
      <c r="I10" s="227" t="s">
        <v>66</v>
      </c>
      <c r="J10" s="135">
        <f>+PNP</f>
        <v>0</v>
      </c>
      <c r="K10" s="945"/>
      <c r="L10" s="511"/>
      <c r="M10" s="440"/>
      <c r="N10" s="440"/>
      <c r="O10" s="231" t="str">
        <f>IF(' HPSheet'!D68&lt;&gt;"",' HPSheet'!D68,"")</f>
        <v/>
      </c>
      <c r="P10" s="456">
        <f>IF(' HPSheet'!H68&lt;&gt;"",' HPSheet'!H68,0)</f>
        <v>0</v>
      </c>
      <c r="Q10" s="492">
        <v>0</v>
      </c>
      <c r="R10" s="502">
        <f t="shared" ref="R10:R15" si="6">(P10+Q10)*3</f>
        <v>0</v>
      </c>
      <c r="S10" s="340">
        <f t="shared" ref="S10:S15" si="7">(P10+Q10)*2</f>
        <v>0</v>
      </c>
      <c r="T10" s="350">
        <f t="shared" ref="T10:T15" si="8">P10+Q10</f>
        <v>0</v>
      </c>
      <c r="U10" s="503">
        <f t="shared" ref="U10:U15" si="9">INT((P10+Q10)*0.5)</f>
        <v>0</v>
      </c>
      <c r="V10" s="455">
        <f t="shared" ref="V10:V15" si="10">INT((P10+Q10)*0.25)</f>
        <v>0</v>
      </c>
      <c r="W10" s="504">
        <f t="shared" ref="W10:W15" si="11">INT((P10+Q10)*0.1)</f>
        <v>0</v>
      </c>
      <c r="Y10" s="371"/>
      <c r="Z10" s="245" t="s">
        <v>1789</v>
      </c>
      <c r="AA10" s="254" t="s">
        <v>1751</v>
      </c>
      <c r="AB10" s="254" t="s">
        <v>1751</v>
      </c>
      <c r="AC10" s="254" t="s">
        <v>1751</v>
      </c>
      <c r="AD10" s="254" t="s">
        <v>1751</v>
      </c>
      <c r="AE10" s="254" t="s">
        <v>1751</v>
      </c>
      <c r="AF10" s="254" t="s">
        <v>1751</v>
      </c>
      <c r="AG10" s="248" t="s">
        <v>1752</v>
      </c>
      <c r="AH10" s="249" t="s">
        <v>1753</v>
      </c>
      <c r="AI10" s="250" t="s">
        <v>1754</v>
      </c>
    </row>
    <row r="11" spans="1:37" x14ac:dyDescent="0.2">
      <c r="A11" s="191"/>
      <c r="B11" s="231"/>
      <c r="C11" s="157" t="s">
        <v>40</v>
      </c>
      <c r="D11" s="232" t="s">
        <v>67</v>
      </c>
      <c r="E11" s="228">
        <f>PMS</f>
        <v>0</v>
      </c>
      <c r="F11" s="233"/>
      <c r="G11" s="157"/>
      <c r="H11" s="157" t="s">
        <v>40</v>
      </c>
      <c r="I11" s="232" t="s">
        <v>68</v>
      </c>
      <c r="J11" s="135">
        <f>PNS</f>
        <v>0</v>
      </c>
      <c r="K11" s="946"/>
      <c r="L11" s="512"/>
      <c r="M11" s="440"/>
      <c r="N11" s="440"/>
      <c r="O11" s="231" t="str">
        <f>IF(' HPSheet'!D69&lt;&gt;"",' HPSheet'!D69,"")</f>
        <v/>
      </c>
      <c r="P11" s="456">
        <f>IF(' HPSheet'!H69&lt;&gt;"",' HPSheet'!H69,0)</f>
        <v>0</v>
      </c>
      <c r="Q11" s="492">
        <v>0</v>
      </c>
      <c r="R11" s="502">
        <f t="shared" si="6"/>
        <v>0</v>
      </c>
      <c r="S11" s="340">
        <f t="shared" si="7"/>
        <v>0</v>
      </c>
      <c r="T11" s="350">
        <f t="shared" si="8"/>
        <v>0</v>
      </c>
      <c r="U11" s="503">
        <f t="shared" si="9"/>
        <v>0</v>
      </c>
      <c r="V11" s="455">
        <f t="shared" si="10"/>
        <v>0</v>
      </c>
      <c r="W11" s="504">
        <f t="shared" si="11"/>
        <v>0</v>
      </c>
      <c r="Y11" s="371"/>
      <c r="Z11" s="245" t="s">
        <v>1790</v>
      </c>
      <c r="AA11" s="254" t="s">
        <v>1751</v>
      </c>
      <c r="AB11" s="254" t="s">
        <v>1751</v>
      </c>
      <c r="AC11" s="254" t="s">
        <v>1751</v>
      </c>
      <c r="AD11" s="254" t="s">
        <v>1751</v>
      </c>
      <c r="AE11" s="254" t="s">
        <v>1751</v>
      </c>
      <c r="AF11" s="254" t="s">
        <v>1751</v>
      </c>
      <c r="AG11" s="254" t="s">
        <v>1751</v>
      </c>
      <c r="AH11" s="248" t="s">
        <v>1752</v>
      </c>
      <c r="AI11" s="249" t="s">
        <v>1753</v>
      </c>
    </row>
    <row r="12" spans="1:37" x14ac:dyDescent="0.2">
      <c r="A12" s="191"/>
      <c r="B12" s="441" t="s">
        <v>69</v>
      </c>
      <c r="C12" s="442"/>
      <c r="D12" s="443" t="s">
        <v>70</v>
      </c>
      <c r="E12" s="219">
        <f>SM+SP</f>
        <v>0</v>
      </c>
      <c r="F12" s="220"/>
      <c r="G12" s="221" t="s">
        <v>47</v>
      </c>
      <c r="H12" s="222"/>
      <c r="I12" s="234"/>
      <c r="J12" s="470"/>
      <c r="K12" s="947" t="s">
        <v>2103</v>
      </c>
      <c r="L12" s="513">
        <f>SMS+SPS</f>
        <v>0</v>
      </c>
      <c r="O12" s="231" t="str">
        <f>IF(' HPSheet'!D70&lt;&gt;"",' HPSheet'!D70,"")</f>
        <v/>
      </c>
      <c r="P12" s="456">
        <f>IF(' HPSheet'!H70&lt;&gt;"",' HPSheet'!H70,0)</f>
        <v>0</v>
      </c>
      <c r="Q12" s="492">
        <v>0</v>
      </c>
      <c r="R12" s="502">
        <f t="shared" si="6"/>
        <v>0</v>
      </c>
      <c r="S12" s="340">
        <f t="shared" si="7"/>
        <v>0</v>
      </c>
      <c r="T12" s="350">
        <f t="shared" si="8"/>
        <v>0</v>
      </c>
      <c r="U12" s="503">
        <f t="shared" si="9"/>
        <v>0</v>
      </c>
      <c r="V12" s="455">
        <f t="shared" si="10"/>
        <v>0</v>
      </c>
      <c r="W12" s="504">
        <f t="shared" si="11"/>
        <v>0</v>
      </c>
      <c r="Y12" s="371"/>
      <c r="Z12" s="245" t="s">
        <v>1791</v>
      </c>
      <c r="AA12" s="254" t="s">
        <v>1751</v>
      </c>
      <c r="AB12" s="254" t="s">
        <v>1751</v>
      </c>
      <c r="AC12" s="254" t="s">
        <v>1751</v>
      </c>
      <c r="AD12" s="254" t="s">
        <v>1751</v>
      </c>
      <c r="AE12" s="254" t="s">
        <v>1751</v>
      </c>
      <c r="AF12" s="254" t="s">
        <v>1751</v>
      </c>
      <c r="AG12" s="254" t="s">
        <v>1751</v>
      </c>
      <c r="AH12" s="254" t="s">
        <v>1751</v>
      </c>
      <c r="AI12" s="248" t="s">
        <v>1752</v>
      </c>
    </row>
    <row r="13" spans="1:37" x14ac:dyDescent="0.2">
      <c r="A13" s="191"/>
      <c r="B13" s="225" t="s">
        <v>79</v>
      </c>
      <c r="C13" s="226"/>
      <c r="D13" s="227" t="s">
        <v>80</v>
      </c>
      <c r="E13" s="228">
        <f>SMC+SMP+SMS</f>
        <v>0</v>
      </c>
      <c r="F13" s="229"/>
      <c r="G13" s="226" t="s">
        <v>81</v>
      </c>
      <c r="H13" s="226"/>
      <c r="I13" s="227" t="s">
        <v>82</v>
      </c>
      <c r="J13" s="135">
        <f>SPC+SPP+SPS</f>
        <v>0</v>
      </c>
      <c r="K13" s="948"/>
      <c r="L13" s="514"/>
      <c r="O13" s="231" t="str">
        <f>IF(' HPSheet'!D71&lt;&gt;"",' HPSheet'!D71,"")</f>
        <v/>
      </c>
      <c r="P13" s="456">
        <f>IF(' HPSheet'!H71&lt;&gt;"",' HPSheet'!H71,0)</f>
        <v>0</v>
      </c>
      <c r="Q13" s="492">
        <v>0</v>
      </c>
      <c r="R13" s="502">
        <f t="shared" si="6"/>
        <v>0</v>
      </c>
      <c r="S13" s="340">
        <f t="shared" si="7"/>
        <v>0</v>
      </c>
      <c r="T13" s="350">
        <f t="shared" si="8"/>
        <v>0</v>
      </c>
      <c r="U13" s="503">
        <f t="shared" si="9"/>
        <v>0</v>
      </c>
      <c r="V13" s="455">
        <f t="shared" si="10"/>
        <v>0</v>
      </c>
      <c r="W13" s="504">
        <f t="shared" si="11"/>
        <v>0</v>
      </c>
      <c r="Y13" s="371"/>
      <c r="Z13" s="371"/>
      <c r="AA13" s="371"/>
      <c r="AB13" s="371"/>
      <c r="AC13" s="371"/>
      <c r="AD13" s="371"/>
      <c r="AE13" s="371"/>
      <c r="AF13" s="371"/>
      <c r="AG13" s="371"/>
    </row>
    <row r="14" spans="1:37" x14ac:dyDescent="0.2">
      <c r="A14" s="191"/>
      <c r="B14" s="225"/>
      <c r="C14" s="226" t="s">
        <v>34</v>
      </c>
      <c r="D14" s="227" t="s">
        <v>84</v>
      </c>
      <c r="E14" s="228">
        <f>SMC</f>
        <v>0</v>
      </c>
      <c r="F14" s="229"/>
      <c r="G14" s="226"/>
      <c r="H14" s="226" t="s">
        <v>34</v>
      </c>
      <c r="I14" s="227" t="s">
        <v>85</v>
      </c>
      <c r="J14" s="135">
        <f>SPC</f>
        <v>0</v>
      </c>
      <c r="K14" s="948"/>
      <c r="L14" s="514"/>
      <c r="O14" s="231" t="str">
        <f>IF(' HPSheet'!D72&lt;&gt;"",' HPSheet'!D72,"")</f>
        <v/>
      </c>
      <c r="P14" s="456">
        <f>IF(' HPSheet'!H72&lt;&gt;"",' HPSheet'!H72,0)</f>
        <v>0</v>
      </c>
      <c r="Q14" s="492">
        <v>0</v>
      </c>
      <c r="R14" s="502">
        <f t="shared" si="6"/>
        <v>0</v>
      </c>
      <c r="S14" s="340">
        <f t="shared" si="7"/>
        <v>0</v>
      </c>
      <c r="T14" s="350">
        <f t="shared" si="8"/>
        <v>0</v>
      </c>
      <c r="U14" s="503">
        <f t="shared" si="9"/>
        <v>0</v>
      </c>
      <c r="V14" s="455">
        <f t="shared" si="10"/>
        <v>0</v>
      </c>
      <c r="W14" s="504">
        <f t="shared" si="11"/>
        <v>0</v>
      </c>
      <c r="Y14" s="371"/>
      <c r="Z14" s="1502" t="s">
        <v>1792</v>
      </c>
      <c r="AA14" s="1503"/>
      <c r="AB14" s="1503"/>
      <c r="AC14" s="1503"/>
      <c r="AD14" s="1503"/>
      <c r="AE14" s="1503"/>
      <c r="AF14" s="1503"/>
      <c r="AG14" s="1503"/>
      <c r="AH14" s="1503"/>
      <c r="AI14" s="1503"/>
    </row>
    <row r="15" spans="1:37" x14ac:dyDescent="0.2">
      <c r="A15" s="191"/>
      <c r="B15" s="225"/>
      <c r="C15" s="226" t="s">
        <v>37</v>
      </c>
      <c r="D15" s="227" t="s">
        <v>86</v>
      </c>
      <c r="E15" s="228">
        <f>SMP</f>
        <v>0</v>
      </c>
      <c r="F15" s="229"/>
      <c r="G15" s="226"/>
      <c r="H15" s="226" t="s">
        <v>37</v>
      </c>
      <c r="I15" s="227" t="s">
        <v>87</v>
      </c>
      <c r="J15" s="135">
        <f>SPP</f>
        <v>0</v>
      </c>
      <c r="K15" s="948"/>
      <c r="L15" s="514"/>
      <c r="O15" s="231" t="str">
        <f>IF(' HPSheet'!D73&lt;&gt;"",' HPSheet'!D73,"")</f>
        <v/>
      </c>
      <c r="P15" s="456">
        <f>IF(' HPSheet'!H73&lt;&gt;"",' HPSheet'!H73,0)</f>
        <v>0</v>
      </c>
      <c r="Q15" s="492">
        <v>0</v>
      </c>
      <c r="R15" s="502">
        <f t="shared" si="6"/>
        <v>0</v>
      </c>
      <c r="S15" s="340">
        <f t="shared" si="7"/>
        <v>0</v>
      </c>
      <c r="T15" s="350">
        <f t="shared" si="8"/>
        <v>0</v>
      </c>
      <c r="U15" s="503">
        <f t="shared" si="9"/>
        <v>0</v>
      </c>
      <c r="V15" s="455">
        <f t="shared" si="10"/>
        <v>0</v>
      </c>
      <c r="W15" s="504">
        <f t="shared" si="11"/>
        <v>0</v>
      </c>
      <c r="Y15" s="371"/>
      <c r="Z15" s="1503"/>
      <c r="AA15" s="1503"/>
      <c r="AB15" s="1503"/>
      <c r="AC15" s="1503"/>
      <c r="AD15" s="1503"/>
      <c r="AE15" s="1503"/>
      <c r="AF15" s="1503"/>
      <c r="AG15" s="1503"/>
      <c r="AH15" s="1503"/>
      <c r="AI15" s="1503"/>
    </row>
    <row r="16" spans="1:37" x14ac:dyDescent="0.2">
      <c r="A16" s="191"/>
      <c r="B16" s="231"/>
      <c r="C16" s="157" t="s">
        <v>40</v>
      </c>
      <c r="D16" s="232" t="s">
        <v>89</v>
      </c>
      <c r="E16" s="228">
        <f>SMS</f>
        <v>0</v>
      </c>
      <c r="F16" s="233"/>
      <c r="G16" s="157"/>
      <c r="H16" s="157" t="s">
        <v>40</v>
      </c>
      <c r="I16" s="232" t="s">
        <v>90</v>
      </c>
      <c r="J16" s="135">
        <f>SPS</f>
        <v>0</v>
      </c>
      <c r="K16" s="949"/>
      <c r="L16" s="515"/>
      <c r="O16" s="231" t="str">
        <f>IF(' HPSheet'!D70&lt;&gt;"",' HPSheet'!D70,"")</f>
        <v/>
      </c>
      <c r="P16" s="456">
        <f>IF(' HPSheet'!H70&lt;&gt;"",' HPSheet'!H70,0)</f>
        <v>0</v>
      </c>
      <c r="Q16" s="492"/>
      <c r="R16" s="502">
        <f t="shared" ref="R16:R59" si="12">(P16+Q16)*3</f>
        <v>0</v>
      </c>
      <c r="S16" s="340">
        <f t="shared" ref="S16:S59" si="13">(P16+Q16)*2</f>
        <v>0</v>
      </c>
      <c r="T16" s="350">
        <f t="shared" ref="T16:T59" si="14">P16+Q16</f>
        <v>0</v>
      </c>
      <c r="U16" s="503">
        <f t="shared" ref="U16:U59" si="15">INT((P16+Q16)*0.5)</f>
        <v>0</v>
      </c>
      <c r="V16" s="455">
        <f t="shared" ref="V16:V59" si="16">INT((P16+Q16)*0.25)</f>
        <v>0</v>
      </c>
      <c r="W16" s="504">
        <f t="shared" ref="W16:W59" si="17">INT((P16+Q16)*0.1)</f>
        <v>0</v>
      </c>
      <c r="Y16" s="371"/>
      <c r="Z16" s="1503"/>
      <c r="AA16" s="1503"/>
      <c r="AB16" s="1503"/>
      <c r="AC16" s="1503"/>
      <c r="AD16" s="1503"/>
      <c r="AE16" s="1503"/>
      <c r="AF16" s="1503"/>
      <c r="AG16" s="1503"/>
      <c r="AH16" s="1503"/>
      <c r="AI16" s="1503"/>
      <c r="AJ16" s="371"/>
      <c r="AK16" s="371"/>
    </row>
    <row r="17" spans="1:37" x14ac:dyDescent="0.2">
      <c r="A17" s="191"/>
      <c r="B17" s="191"/>
      <c r="C17" s="191"/>
      <c r="D17" s="191"/>
      <c r="E17" s="191"/>
      <c r="F17" s="235"/>
      <c r="G17" s="191"/>
      <c r="H17" s="236"/>
      <c r="I17" s="237"/>
      <c r="J17" s="223"/>
      <c r="K17" s="223"/>
      <c r="L17" s="224"/>
      <c r="O17" s="231" t="str">
        <f>IF(' HPSheet'!D71&lt;&gt;"",' HPSheet'!D71,"")</f>
        <v/>
      </c>
      <c r="P17" s="456">
        <f>IF(' HPSheet'!H71&lt;&gt;"",' HPSheet'!H71,0)</f>
        <v>0</v>
      </c>
      <c r="Q17" s="492"/>
      <c r="R17" s="502">
        <f t="shared" si="12"/>
        <v>0</v>
      </c>
      <c r="S17" s="340">
        <f t="shared" si="13"/>
        <v>0</v>
      </c>
      <c r="T17" s="350">
        <f t="shared" si="14"/>
        <v>0</v>
      </c>
      <c r="U17" s="503">
        <f t="shared" si="15"/>
        <v>0</v>
      </c>
      <c r="V17" s="455">
        <f t="shared" si="16"/>
        <v>0</v>
      </c>
      <c r="W17" s="504">
        <f t="shared" si="17"/>
        <v>0</v>
      </c>
      <c r="Y17" s="371"/>
      <c r="Z17" s="1503"/>
      <c r="AA17" s="1503"/>
      <c r="AB17" s="1503"/>
      <c r="AC17" s="1503"/>
      <c r="AD17" s="1503"/>
      <c r="AE17" s="1503"/>
      <c r="AF17" s="1503"/>
      <c r="AG17" s="1503"/>
      <c r="AH17" s="1503"/>
      <c r="AI17" s="1503"/>
      <c r="AJ17" s="371"/>
      <c r="AK17" s="371"/>
    </row>
    <row r="18" spans="1:37" ht="13.5" thickBot="1" x14ac:dyDescent="0.25">
      <c r="A18" s="229"/>
      <c r="B18" s="229" t="s">
        <v>114</v>
      </c>
      <c r="C18" s="229"/>
      <c r="D18" s="229"/>
      <c r="E18" s="229"/>
      <c r="F18" s="238" t="s">
        <v>115</v>
      </c>
      <c r="G18" s="191"/>
      <c r="H18" s="238" t="s">
        <v>122</v>
      </c>
      <c r="I18" s="239" t="s">
        <v>49</v>
      </c>
      <c r="J18" s="229"/>
      <c r="K18" s="229"/>
      <c r="L18" s="238" t="s">
        <v>115</v>
      </c>
      <c r="O18" s="231" t="str">
        <f>IF(' HPSheet'!D72&lt;&gt;"",' HPSheet'!D72,"")</f>
        <v/>
      </c>
      <c r="P18" s="456">
        <f>IF(' HPSheet'!H72&lt;&gt;"",' HPSheet'!H72,0)</f>
        <v>0</v>
      </c>
      <c r="Q18" s="492"/>
      <c r="R18" s="502">
        <f t="shared" si="12"/>
        <v>0</v>
      </c>
      <c r="S18" s="340">
        <f t="shared" si="13"/>
        <v>0</v>
      </c>
      <c r="T18" s="350">
        <f t="shared" si="14"/>
        <v>0</v>
      </c>
      <c r="U18" s="503">
        <f t="shared" si="15"/>
        <v>0</v>
      </c>
      <c r="V18" s="455">
        <f t="shared" si="16"/>
        <v>0</v>
      </c>
      <c r="W18" s="504">
        <f t="shared" si="17"/>
        <v>0</v>
      </c>
      <c r="Y18" s="371"/>
      <c r="Z18" s="1503"/>
      <c r="AA18" s="1503"/>
      <c r="AB18" s="1503"/>
      <c r="AC18" s="1503"/>
      <c r="AD18" s="1503"/>
      <c r="AE18" s="1503"/>
      <c r="AF18" s="1503"/>
      <c r="AG18" s="1503"/>
      <c r="AH18" s="1503"/>
      <c r="AI18" s="1503"/>
      <c r="AJ18" s="371"/>
      <c r="AK18" s="371"/>
    </row>
    <row r="19" spans="1:37" x14ac:dyDescent="0.2">
      <c r="A19" s="456">
        <v>1</v>
      </c>
      <c r="B19" s="460" t="str">
        <f>IF(' HPSheet'!$D61&lt;&gt;"",' HPSheet'!$D61,"")</f>
        <v>Etiquette/Social Graces</v>
      </c>
      <c r="C19" s="461"/>
      <c r="D19" s="462"/>
      <c r="E19" s="463"/>
      <c r="F19" s="459" t="str">
        <f>IF(' HPSheet'!$H61&lt;&gt;"",' HPSheet'!$H61,"")</f>
        <v/>
      </c>
      <c r="G19" s="191"/>
      <c r="H19" s="1080" t="str">
        <f>IF(' HPSheet'!$K61&lt;&gt;"",' HPSheet'!$K61,"")</f>
        <v/>
      </c>
      <c r="I19" s="1081" t="str">
        <f>IF(' HPSheet'!$L61&lt;&gt;"",' HPSheet'!$L61,"")</f>
        <v/>
      </c>
      <c r="J19" s="1082"/>
      <c r="K19" s="1083"/>
      <c r="L19" s="1084" t="str">
        <f>IF(' HPSheet'!$P61&lt;&gt;"",' HPSheet'!$P61,"")</f>
        <v/>
      </c>
      <c r="O19" s="231" t="str">
        <f>IF(' HPSheet'!D73&lt;&gt;"",' HPSheet'!D73,"")</f>
        <v/>
      </c>
      <c r="P19" s="456">
        <f>IF(' HPSheet'!H73&lt;&gt;"",' HPSheet'!H73,0)</f>
        <v>0</v>
      </c>
      <c r="Q19" s="492"/>
      <c r="R19" s="502">
        <f t="shared" si="12"/>
        <v>0</v>
      </c>
      <c r="S19" s="340">
        <f t="shared" si="13"/>
        <v>0</v>
      </c>
      <c r="T19" s="350">
        <f t="shared" si="14"/>
        <v>0</v>
      </c>
      <c r="U19" s="503">
        <f t="shared" si="15"/>
        <v>0</v>
      </c>
      <c r="V19" s="455">
        <f t="shared" si="16"/>
        <v>0</v>
      </c>
      <c r="W19" s="504">
        <f t="shared" si="17"/>
        <v>0</v>
      </c>
      <c r="Y19" s="371"/>
      <c r="Z19" s="1503"/>
      <c r="AA19" s="1503"/>
      <c r="AB19" s="1503"/>
      <c r="AC19" s="1503"/>
      <c r="AD19" s="1503"/>
      <c r="AE19" s="1503"/>
      <c r="AF19" s="1503"/>
      <c r="AG19" s="1503"/>
      <c r="AH19" s="1503"/>
      <c r="AI19" s="1503"/>
      <c r="AJ19" s="371"/>
      <c r="AK19" s="371"/>
    </row>
    <row r="20" spans="1:37" x14ac:dyDescent="0.2">
      <c r="A20" s="240">
        <v>2</v>
      </c>
      <c r="B20" s="446" t="str">
        <f>IF(' HPSheet'!$D62&lt;&gt;"",' HPSheet'!$D62,"")</f>
        <v>Native Tongue</v>
      </c>
      <c r="C20" s="428"/>
      <c r="D20" s="428"/>
      <c r="E20" s="449"/>
      <c r="F20" s="459" t="str">
        <f>IF(' HPSheet'!$H62&lt;&gt;"",' HPSheet'!$H62,"")</f>
        <v/>
      </c>
      <c r="G20" s="191"/>
      <c r="H20" s="1085" t="str">
        <f>IF(' HPSheet'!$K62&lt;&gt;"",' HPSheet'!$K62,"")</f>
        <v/>
      </c>
      <c r="I20" s="466" t="str">
        <f>IF(' HPSheet'!$L62&lt;&gt;"",' HPSheet'!$L62,"")</f>
        <v/>
      </c>
      <c r="J20" s="467"/>
      <c r="K20" s="468"/>
      <c r="L20" s="1086" t="str">
        <f>IF(' HPSheet'!$P62&lt;&gt;"",' HPSheet'!$P62,"")</f>
        <v/>
      </c>
      <c r="O20" s="231" t="str">
        <f>IF(' HPSheet'!D74&lt;&gt;"",' HPSheet'!D74,"")</f>
        <v/>
      </c>
      <c r="P20" s="456">
        <f>IF(' HPSheet'!H74&lt;&gt;"",' HPSheet'!H74,0)</f>
        <v>0</v>
      </c>
      <c r="Q20" s="492"/>
      <c r="R20" s="502">
        <f t="shared" si="12"/>
        <v>0</v>
      </c>
      <c r="S20" s="340">
        <f t="shared" si="13"/>
        <v>0</v>
      </c>
      <c r="T20" s="350">
        <f t="shared" si="14"/>
        <v>0</v>
      </c>
      <c r="U20" s="503">
        <f t="shared" si="15"/>
        <v>0</v>
      </c>
      <c r="V20" s="455">
        <f t="shared" si="16"/>
        <v>0</v>
      </c>
      <c r="W20" s="504">
        <f t="shared" si="17"/>
        <v>0</v>
      </c>
      <c r="Y20" s="371"/>
      <c r="Z20" s="371"/>
      <c r="AA20" s="371"/>
      <c r="AB20" s="371"/>
      <c r="AC20" s="371"/>
      <c r="AD20" s="371"/>
      <c r="AE20" s="371"/>
      <c r="AF20" s="371"/>
      <c r="AG20" s="371"/>
      <c r="AH20" s="371"/>
      <c r="AI20" s="371"/>
      <c r="AJ20" s="371"/>
      <c r="AK20" s="371"/>
    </row>
    <row r="21" spans="1:37" x14ac:dyDescent="0.2">
      <c r="A21" s="240">
        <v>3</v>
      </c>
      <c r="B21" s="231" t="str">
        <f>IF(' HPSheet'!$D63&lt;&gt;"",' HPSheet'!$D63,"")</f>
        <v xml:space="preserve">Riding </v>
      </c>
      <c r="C21" s="444"/>
      <c r="D21" s="444"/>
      <c r="E21" s="445"/>
      <c r="F21" s="459" t="str">
        <f>IF(' HPSheet'!$H63&lt;&gt;"",' HPSheet'!$H63,"")</f>
        <v/>
      </c>
      <c r="G21" s="191"/>
      <c r="H21" s="1085" t="str">
        <f>IF(' HPSheet'!$K63&lt;&gt;"",' HPSheet'!$K63,"")</f>
        <v/>
      </c>
      <c r="I21" s="466" t="str">
        <f>IF(' HPSheet'!$L63&lt;&gt;"",' HPSheet'!$L63,"")</f>
        <v/>
      </c>
      <c r="J21" s="467"/>
      <c r="K21" s="468"/>
      <c r="L21" s="1086" t="str">
        <f>IF(' HPSheet'!$P63&lt;&gt;"",' HPSheet'!$P63,"")</f>
        <v/>
      </c>
      <c r="O21" s="231" t="str">
        <f>IF(' HPSheet'!D75&lt;&gt;"",' HPSheet'!D75,"")</f>
        <v/>
      </c>
      <c r="P21" s="456">
        <f>IF(' HPSheet'!H75&lt;&gt;"",' HPSheet'!H75,0)</f>
        <v>0</v>
      </c>
      <c r="Q21" s="492"/>
      <c r="R21" s="502">
        <f t="shared" si="12"/>
        <v>0</v>
      </c>
      <c r="S21" s="340">
        <f t="shared" si="13"/>
        <v>0</v>
      </c>
      <c r="T21" s="350">
        <f t="shared" si="14"/>
        <v>0</v>
      </c>
      <c r="U21" s="503">
        <f t="shared" si="15"/>
        <v>0</v>
      </c>
      <c r="V21" s="455">
        <f t="shared" si="16"/>
        <v>0</v>
      </c>
      <c r="W21" s="504">
        <f t="shared" si="17"/>
        <v>0</v>
      </c>
      <c r="Y21" s="371"/>
      <c r="Z21" s="215" t="s">
        <v>1793</v>
      </c>
      <c r="AA21" s="244"/>
      <c r="AB21" s="244"/>
      <c r="AC21" s="244"/>
      <c r="AD21" s="244"/>
      <c r="AE21" s="244"/>
      <c r="AF21" s="244"/>
      <c r="AG21" s="244"/>
      <c r="AH21" s="244"/>
    </row>
    <row r="22" spans="1:37" x14ac:dyDescent="0.2">
      <c r="A22" s="240">
        <v>4</v>
      </c>
      <c r="B22" s="231" t="str">
        <f>IF(' HPSheet'!$D64&lt;&gt;"",' HPSheet'!$D64,"")</f>
        <v>Trade Language/Nature Tongue</v>
      </c>
      <c r="C22" s="444"/>
      <c r="D22" s="444"/>
      <c r="E22" s="445"/>
      <c r="F22" s="459" t="str">
        <f>IF(' HPSheet'!$H64&lt;&gt;"",' HPSheet'!$H64,"")</f>
        <v/>
      </c>
      <c r="G22" s="191"/>
      <c r="H22" s="1085" t="str">
        <f>IF(' HPSheet'!$K64&lt;&gt;"",' HPSheet'!$K64,"")</f>
        <v/>
      </c>
      <c r="I22" s="466" t="str">
        <f>IF(' HPSheet'!$L64&lt;&gt;"",' HPSheet'!$L64,"")</f>
        <v/>
      </c>
      <c r="J22" s="467"/>
      <c r="K22" s="468"/>
      <c r="L22" s="1086" t="str">
        <f>IF(' HPSheet'!$P64&lt;&gt;"",' HPSheet'!$P64,"")</f>
        <v/>
      </c>
      <c r="O22" s="231" t="str">
        <f>IF(' HPSheet'!D76&lt;&gt;"",' HPSheet'!D76,"")</f>
        <v/>
      </c>
      <c r="P22" s="456">
        <f>IF(' HPSheet'!H76&lt;&gt;"",' HPSheet'!H76,0)</f>
        <v>0</v>
      </c>
      <c r="Q22" s="492"/>
      <c r="R22" s="502">
        <f t="shared" si="12"/>
        <v>0</v>
      </c>
      <c r="S22" s="340">
        <f t="shared" si="13"/>
        <v>0</v>
      </c>
      <c r="T22" s="350">
        <f t="shared" si="14"/>
        <v>0</v>
      </c>
      <c r="U22" s="503">
        <f t="shared" si="15"/>
        <v>0</v>
      </c>
      <c r="V22" s="455">
        <f t="shared" si="16"/>
        <v>0</v>
      </c>
      <c r="W22" s="504">
        <f t="shared" si="17"/>
        <v>0</v>
      </c>
      <c r="Y22" s="371"/>
      <c r="Z22" s="215" t="s">
        <v>1766</v>
      </c>
      <c r="AA22" s="213" t="s">
        <v>1767</v>
      </c>
      <c r="AB22" s="213" t="s">
        <v>1768</v>
      </c>
      <c r="AC22" s="213" t="s">
        <v>1769</v>
      </c>
      <c r="AD22" s="213" t="s">
        <v>1770</v>
      </c>
      <c r="AE22" s="213" t="s">
        <v>1771</v>
      </c>
      <c r="AF22" s="213" t="s">
        <v>1772</v>
      </c>
      <c r="AG22" s="213" t="s">
        <v>1773</v>
      </c>
      <c r="AH22" s="213" t="s">
        <v>1774</v>
      </c>
      <c r="AI22" s="213" t="s">
        <v>1775</v>
      </c>
    </row>
    <row r="23" spans="1:37" x14ac:dyDescent="0.2">
      <c r="A23" s="240">
        <v>5</v>
      </c>
      <c r="B23" s="231" t="str">
        <f>IF(' HPSheet'!$D65&lt;&gt;"",' HPSheet'!$D65,"")</f>
        <v>Current Events</v>
      </c>
      <c r="C23" s="444"/>
      <c r="D23" s="444"/>
      <c r="E23" s="445"/>
      <c r="F23" s="459" t="str">
        <f>IF(' HPSheet'!$H65&lt;&gt;"",' HPSheet'!$H65,"")</f>
        <v/>
      </c>
      <c r="G23" s="191"/>
      <c r="H23" s="1085" t="str">
        <f>IF(' HPSheet'!$K65&lt;&gt;"",' HPSheet'!$K65,"")</f>
        <v/>
      </c>
      <c r="I23" s="466" t="str">
        <f>IF(' HPSheet'!$L65&lt;&gt;"",' HPSheet'!$L65,"")</f>
        <v/>
      </c>
      <c r="J23" s="467"/>
      <c r="K23" s="468"/>
      <c r="L23" s="1086" t="str">
        <f>IF(' HPSheet'!$P65&lt;&gt;"",' HPSheet'!$P65,"")</f>
        <v/>
      </c>
      <c r="O23" s="231" t="str">
        <f>IF(' HPSheet'!D77&lt;&gt;"",' HPSheet'!D77,"")</f>
        <v/>
      </c>
      <c r="P23" s="456">
        <f>IF(' HPSheet'!H77&lt;&gt;"",' HPSheet'!H77,0)</f>
        <v>0</v>
      </c>
      <c r="Q23" s="492"/>
      <c r="R23" s="502">
        <f t="shared" si="12"/>
        <v>0</v>
      </c>
      <c r="S23" s="340">
        <f t="shared" si="13"/>
        <v>0</v>
      </c>
      <c r="T23" s="350">
        <f t="shared" si="14"/>
        <v>0</v>
      </c>
      <c r="U23" s="503">
        <f t="shared" si="15"/>
        <v>0</v>
      </c>
      <c r="V23" s="455">
        <f t="shared" si="16"/>
        <v>0</v>
      </c>
      <c r="W23" s="504">
        <f t="shared" si="17"/>
        <v>0</v>
      </c>
      <c r="Y23" s="371"/>
      <c r="Z23" s="247" t="s">
        <v>1777</v>
      </c>
      <c r="AA23" s="249" t="s">
        <v>1753</v>
      </c>
      <c r="AB23" s="250" t="s">
        <v>1754</v>
      </c>
      <c r="AC23" s="251" t="s">
        <v>1755</v>
      </c>
      <c r="AD23" s="252" t="s">
        <v>1778</v>
      </c>
      <c r="AE23" s="253" t="s">
        <v>1779</v>
      </c>
      <c r="AF23" s="253" t="s">
        <v>1779</v>
      </c>
      <c r="AG23" s="253" t="s">
        <v>1779</v>
      </c>
      <c r="AH23" s="253" t="s">
        <v>1779</v>
      </c>
      <c r="AI23" s="253" t="s">
        <v>1779</v>
      </c>
    </row>
    <row r="24" spans="1:37" x14ac:dyDescent="0.2">
      <c r="A24" s="240">
        <v>6</v>
      </c>
      <c r="B24" s="231" t="str">
        <f>IF(' HPSheet'!$D66&lt;&gt;"",' HPSheet'!$D66,"")</f>
        <v>Perception, Mental</v>
      </c>
      <c r="C24" s="444"/>
      <c r="D24" s="444"/>
      <c r="E24" s="445"/>
      <c r="F24" s="459" t="str">
        <f>IF(' HPSheet'!$H66&lt;&gt;"",' HPSheet'!$H66,"")</f>
        <v/>
      </c>
      <c r="G24" s="191"/>
      <c r="H24" s="1085" t="str">
        <f>IF(' HPSheet'!$K66&lt;&gt;"",' HPSheet'!$K66,"")</f>
        <v/>
      </c>
      <c r="I24" s="466" t="str">
        <f>IF(' HPSheet'!$L66&lt;&gt;"",' HPSheet'!$L66,"")</f>
        <v/>
      </c>
      <c r="J24" s="467"/>
      <c r="K24" s="468"/>
      <c r="L24" s="1086" t="str">
        <f>IF(' HPSheet'!$P66&lt;&gt;"",' HPSheet'!$P66,"")</f>
        <v/>
      </c>
      <c r="O24" s="231" t="str">
        <f>IF(' HPSheet'!D78&lt;&gt;"",' HPSheet'!D78,"")</f>
        <v/>
      </c>
      <c r="P24" s="456">
        <f>IF(' HPSheet'!H78&lt;&gt;"",' HPSheet'!H78,0)</f>
        <v>0</v>
      </c>
      <c r="Q24" s="492"/>
      <c r="R24" s="502">
        <f t="shared" si="12"/>
        <v>0</v>
      </c>
      <c r="S24" s="340">
        <f t="shared" si="13"/>
        <v>0</v>
      </c>
      <c r="T24" s="350">
        <f t="shared" si="14"/>
        <v>0</v>
      </c>
      <c r="U24" s="503">
        <f t="shared" si="15"/>
        <v>0</v>
      </c>
      <c r="V24" s="455">
        <f t="shared" si="16"/>
        <v>0</v>
      </c>
      <c r="W24" s="504">
        <f t="shared" si="17"/>
        <v>0</v>
      </c>
      <c r="Z24" s="245" t="s">
        <v>1780</v>
      </c>
      <c r="AA24" s="248" t="s">
        <v>1752</v>
      </c>
      <c r="AB24" s="249" t="s">
        <v>1753</v>
      </c>
      <c r="AC24" s="250" t="s">
        <v>1754</v>
      </c>
      <c r="AD24" s="251" t="s">
        <v>1755</v>
      </c>
      <c r="AE24" s="252" t="s">
        <v>1778</v>
      </c>
      <c r="AF24" s="253" t="s">
        <v>1779</v>
      </c>
      <c r="AG24" s="253" t="s">
        <v>1779</v>
      </c>
      <c r="AH24" s="253" t="s">
        <v>1779</v>
      </c>
      <c r="AI24" s="253" t="s">
        <v>1779</v>
      </c>
    </row>
    <row r="25" spans="1:37" x14ac:dyDescent="0.2">
      <c r="A25" s="240">
        <v>7</v>
      </c>
      <c r="B25" s="231" t="str">
        <f>IF(' HPSheet'!$D67&lt;&gt;"",' HPSheet'!$D67,"")</f>
        <v>Perception, Physical</v>
      </c>
      <c r="C25" s="444"/>
      <c r="D25" s="444"/>
      <c r="E25" s="445"/>
      <c r="F25" s="459" t="str">
        <f>IF(' HPSheet'!$H67&lt;&gt;"",' HPSheet'!$H67,"")</f>
        <v/>
      </c>
      <c r="G25" s="191"/>
      <c r="H25" s="1085" t="str">
        <f>IF(' HPSheet'!$K67&lt;&gt;"",' HPSheet'!$K67,"")</f>
        <v/>
      </c>
      <c r="I25" s="466" t="str">
        <f>IF(' HPSheet'!$L67&lt;&gt;"",' HPSheet'!$L67,"")</f>
        <v/>
      </c>
      <c r="J25" s="467"/>
      <c r="K25" s="468"/>
      <c r="L25" s="1086" t="str">
        <f>IF(' HPSheet'!$P67&lt;&gt;"",' HPSheet'!$P67,"")</f>
        <v/>
      </c>
      <c r="O25" s="231" t="str">
        <f>IF(' HPSheet'!D79&lt;&gt;"",' HPSheet'!D79,"")</f>
        <v/>
      </c>
      <c r="P25" s="456">
        <f>IF(' HPSheet'!H79&lt;&gt;"",' HPSheet'!H79,0)</f>
        <v>0</v>
      </c>
      <c r="Q25" s="492"/>
      <c r="R25" s="502">
        <f t="shared" si="12"/>
        <v>0</v>
      </c>
      <c r="S25" s="340">
        <f t="shared" si="13"/>
        <v>0</v>
      </c>
      <c r="T25" s="350">
        <f t="shared" si="14"/>
        <v>0</v>
      </c>
      <c r="U25" s="503">
        <f t="shared" si="15"/>
        <v>0</v>
      </c>
      <c r="V25" s="455">
        <f t="shared" si="16"/>
        <v>0</v>
      </c>
      <c r="W25" s="504">
        <f t="shared" si="17"/>
        <v>0</v>
      </c>
      <c r="Z25" s="245" t="s">
        <v>1782</v>
      </c>
      <c r="AA25" s="254" t="s">
        <v>1751</v>
      </c>
      <c r="AB25" s="248" t="s">
        <v>1752</v>
      </c>
      <c r="AC25" s="249" t="s">
        <v>1753</v>
      </c>
      <c r="AD25" s="250" t="s">
        <v>1754</v>
      </c>
      <c r="AE25" s="251" t="s">
        <v>1755</v>
      </c>
      <c r="AF25" s="252" t="s">
        <v>1778</v>
      </c>
      <c r="AG25" s="253" t="s">
        <v>1779</v>
      </c>
      <c r="AH25" s="253" t="s">
        <v>1779</v>
      </c>
      <c r="AI25" s="253" t="s">
        <v>1779</v>
      </c>
    </row>
    <row r="26" spans="1:37" x14ac:dyDescent="0.2">
      <c r="A26" s="240">
        <v>8</v>
      </c>
      <c r="B26" s="231" t="str">
        <f>IF(' HPSheet'!$D68&lt;&gt;"",' HPSheet'!$D68,"")</f>
        <v/>
      </c>
      <c r="C26" s="444"/>
      <c r="D26" s="444"/>
      <c r="E26" s="445"/>
      <c r="F26" s="459" t="str">
        <f>IF(' HPSheet'!$H68&lt;&gt;"",' HPSheet'!$H68,"")</f>
        <v/>
      </c>
      <c r="G26" s="191"/>
      <c r="H26" s="1085" t="str">
        <f>IF(' HPSheet'!$K68&lt;&gt;"",' HPSheet'!$K68,"")</f>
        <v/>
      </c>
      <c r="I26" s="466" t="str">
        <f>IF(' HPSheet'!$L68&lt;&gt;"",' HPSheet'!$L68,"")</f>
        <v/>
      </c>
      <c r="J26" s="467"/>
      <c r="K26" s="468"/>
      <c r="L26" s="1086" t="str">
        <f>IF(' HPSheet'!$P68&lt;&gt;"",' HPSheet'!$P68,"")</f>
        <v/>
      </c>
      <c r="O26" s="231" t="str">
        <f>IF(' HPSheet'!D80&lt;&gt;"",' HPSheet'!D80,"")</f>
        <v/>
      </c>
      <c r="P26" s="456">
        <f>IF(' HPSheet'!H80&lt;&gt;"",' HPSheet'!H80,0)</f>
        <v>0</v>
      </c>
      <c r="Q26" s="492"/>
      <c r="R26" s="502">
        <f t="shared" si="12"/>
        <v>0</v>
      </c>
      <c r="S26" s="340">
        <f t="shared" si="13"/>
        <v>0</v>
      </c>
      <c r="T26" s="350">
        <f t="shared" si="14"/>
        <v>0</v>
      </c>
      <c r="U26" s="503">
        <f t="shared" si="15"/>
        <v>0</v>
      </c>
      <c r="V26" s="455">
        <f t="shared" si="16"/>
        <v>0</v>
      </c>
      <c r="W26" s="504">
        <f t="shared" si="17"/>
        <v>0</v>
      </c>
      <c r="Z26" s="245" t="s">
        <v>1784</v>
      </c>
      <c r="AA26" s="254" t="s">
        <v>1751</v>
      </c>
      <c r="AB26" s="254" t="s">
        <v>1751</v>
      </c>
      <c r="AC26" s="248" t="s">
        <v>1752</v>
      </c>
      <c r="AD26" s="249" t="s">
        <v>1753</v>
      </c>
      <c r="AE26" s="250" t="s">
        <v>1754</v>
      </c>
      <c r="AF26" s="251" t="s">
        <v>1755</v>
      </c>
      <c r="AG26" s="252" t="s">
        <v>1778</v>
      </c>
      <c r="AH26" s="253" t="s">
        <v>1779</v>
      </c>
      <c r="AI26" s="253" t="s">
        <v>1779</v>
      </c>
    </row>
    <row r="27" spans="1:37" x14ac:dyDescent="0.2">
      <c r="A27" s="240">
        <v>9</v>
      </c>
      <c r="B27" s="231" t="str">
        <f>IF(' HPSheet'!$D69&lt;&gt;"",' HPSheet'!$D69,"")</f>
        <v/>
      </c>
      <c r="C27" s="428"/>
      <c r="D27" s="447"/>
      <c r="E27" s="448"/>
      <c r="F27" s="459" t="str">
        <f>IF(' HPSheet'!$H69&lt;&gt;"",' HPSheet'!$H69,"")</f>
        <v/>
      </c>
      <c r="G27" s="191"/>
      <c r="H27" s="1085" t="str">
        <f>IF(' HPSheet'!$K69&lt;&gt;"",' HPSheet'!$K69,"")</f>
        <v/>
      </c>
      <c r="I27" s="466" t="str">
        <f>IF(' HPSheet'!$L69&lt;&gt;"",' HPSheet'!$L69,"")</f>
        <v/>
      </c>
      <c r="J27" s="467"/>
      <c r="K27" s="468"/>
      <c r="L27" s="1086" t="str">
        <f>IF(' HPSheet'!$P69&lt;&gt;"",' HPSheet'!$P69,"")</f>
        <v/>
      </c>
      <c r="O27" s="231" t="str">
        <f>IF(' HPSheet'!D81&lt;&gt;"",' HPSheet'!D81,"")</f>
        <v/>
      </c>
      <c r="P27" s="456">
        <f>IF(' HPSheet'!H81&lt;&gt;"",' HPSheet'!H81,0)</f>
        <v>0</v>
      </c>
      <c r="Q27" s="492"/>
      <c r="R27" s="502">
        <f t="shared" si="12"/>
        <v>0</v>
      </c>
      <c r="S27" s="340">
        <f t="shared" si="13"/>
        <v>0</v>
      </c>
      <c r="T27" s="350">
        <f t="shared" si="14"/>
        <v>0</v>
      </c>
      <c r="U27" s="503">
        <f t="shared" si="15"/>
        <v>0</v>
      </c>
      <c r="V27" s="455">
        <f t="shared" si="16"/>
        <v>0</v>
      </c>
      <c r="W27" s="504">
        <f t="shared" si="17"/>
        <v>0</v>
      </c>
      <c r="Z27" s="245" t="s">
        <v>1785</v>
      </c>
      <c r="AA27" s="254" t="s">
        <v>1751</v>
      </c>
      <c r="AB27" s="254" t="s">
        <v>1751</v>
      </c>
      <c r="AC27" s="254" t="s">
        <v>1751</v>
      </c>
      <c r="AD27" s="248" t="s">
        <v>1752</v>
      </c>
      <c r="AE27" s="249" t="s">
        <v>1753</v>
      </c>
      <c r="AF27" s="250" t="s">
        <v>1754</v>
      </c>
      <c r="AG27" s="251" t="s">
        <v>1755</v>
      </c>
      <c r="AH27" s="252" t="s">
        <v>1778</v>
      </c>
      <c r="AI27" s="253" t="s">
        <v>1779</v>
      </c>
    </row>
    <row r="28" spans="1:37" x14ac:dyDescent="0.2">
      <c r="A28" s="240">
        <v>10</v>
      </c>
      <c r="B28" s="231" t="str">
        <f>IF(' HPSheet'!$D70&lt;&gt;"",' HPSheet'!$D70,"")</f>
        <v/>
      </c>
      <c r="C28" s="428"/>
      <c r="D28" s="428"/>
      <c r="E28" s="449"/>
      <c r="F28" s="459" t="str">
        <f>IF(' HPSheet'!$H70&lt;&gt;"",' HPSheet'!$H70,"")</f>
        <v/>
      </c>
      <c r="G28" s="191"/>
      <c r="H28" s="1085" t="str">
        <f>IF(' HPSheet'!$K70&lt;&gt;"",' HPSheet'!$K70,"")</f>
        <v/>
      </c>
      <c r="I28" s="466" t="str">
        <f>IF(' HPSheet'!$L70&lt;&gt;"",' HPSheet'!$L70,"")</f>
        <v/>
      </c>
      <c r="J28" s="467"/>
      <c r="K28" s="468"/>
      <c r="L28" s="1086" t="str">
        <f>IF(' HPSheet'!$P70&lt;&gt;"",' HPSheet'!$P70,"")</f>
        <v/>
      </c>
      <c r="O28" s="231" t="str">
        <f>IF(' HPSheet'!D82&lt;&gt;"",' HPSheet'!D82,"")</f>
        <v/>
      </c>
      <c r="P28" s="456">
        <f>IF(' HPSheet'!H82&lt;&gt;"",' HPSheet'!H82,0)</f>
        <v>0</v>
      </c>
      <c r="Q28" s="492"/>
      <c r="R28" s="502">
        <f t="shared" si="12"/>
        <v>0</v>
      </c>
      <c r="S28" s="340">
        <f t="shared" si="13"/>
        <v>0</v>
      </c>
      <c r="T28" s="350">
        <f t="shared" si="14"/>
        <v>0</v>
      </c>
      <c r="U28" s="503">
        <f t="shared" si="15"/>
        <v>0</v>
      </c>
      <c r="V28" s="455">
        <f t="shared" si="16"/>
        <v>0</v>
      </c>
      <c r="W28" s="504">
        <f t="shared" si="17"/>
        <v>0</v>
      </c>
      <c r="Z28" s="245" t="s">
        <v>1787</v>
      </c>
      <c r="AA28" s="254" t="s">
        <v>1751</v>
      </c>
      <c r="AB28" s="254" t="s">
        <v>1751</v>
      </c>
      <c r="AC28" s="254" t="s">
        <v>1751</v>
      </c>
      <c r="AD28" s="254" t="s">
        <v>1751</v>
      </c>
      <c r="AE28" s="248" t="s">
        <v>1752</v>
      </c>
      <c r="AF28" s="249" t="s">
        <v>1753</v>
      </c>
      <c r="AG28" s="250" t="s">
        <v>1754</v>
      </c>
      <c r="AH28" s="251" t="s">
        <v>1755</v>
      </c>
      <c r="AI28" s="252" t="s">
        <v>1778</v>
      </c>
    </row>
    <row r="29" spans="1:37" x14ac:dyDescent="0.2">
      <c r="A29" s="240">
        <v>11</v>
      </c>
      <c r="B29" s="231" t="str">
        <f>IF(' HPSheet'!$D71&lt;&gt;"",' HPSheet'!$D71,"")</f>
        <v/>
      </c>
      <c r="C29" s="428"/>
      <c r="D29" s="447"/>
      <c r="E29" s="448"/>
      <c r="F29" s="459" t="str">
        <f>IF(' HPSheet'!$H71&lt;&gt;"",' HPSheet'!$H71,"")</f>
        <v/>
      </c>
      <c r="G29" s="191"/>
      <c r="H29" s="1085" t="str">
        <f>IF(' HPSheet'!$K71&lt;&gt;"",' HPSheet'!$K71,"")</f>
        <v/>
      </c>
      <c r="I29" s="466" t="str">
        <f>IF(' HPSheet'!$L71&lt;&gt;"",' HPSheet'!$L71,"")</f>
        <v/>
      </c>
      <c r="J29" s="467"/>
      <c r="K29" s="468"/>
      <c r="L29" s="1086" t="str">
        <f>IF(' HPSheet'!$P71&lt;&gt;"",' HPSheet'!$P71,"")</f>
        <v/>
      </c>
      <c r="O29" s="231" t="str">
        <f>IF(' HPSheet'!D83&lt;&gt;"",' HPSheet'!D83,"")</f>
        <v/>
      </c>
      <c r="P29" s="456">
        <f>IF(' HPSheet'!H83&lt;&gt;"",' HPSheet'!H83,0)</f>
        <v>0</v>
      </c>
      <c r="Q29" s="492"/>
      <c r="R29" s="502">
        <f t="shared" si="12"/>
        <v>0</v>
      </c>
      <c r="S29" s="340">
        <f t="shared" si="13"/>
        <v>0</v>
      </c>
      <c r="T29" s="350">
        <f t="shared" si="14"/>
        <v>0</v>
      </c>
      <c r="U29" s="503">
        <f t="shared" si="15"/>
        <v>0</v>
      </c>
      <c r="V29" s="455">
        <f t="shared" si="16"/>
        <v>0</v>
      </c>
      <c r="W29" s="504">
        <f t="shared" si="17"/>
        <v>0</v>
      </c>
      <c r="Z29" s="245" t="s">
        <v>1789</v>
      </c>
      <c r="AA29" s="254" t="s">
        <v>1751</v>
      </c>
      <c r="AB29" s="254" t="s">
        <v>1751</v>
      </c>
      <c r="AC29" s="254" t="s">
        <v>1751</v>
      </c>
      <c r="AD29" s="254" t="s">
        <v>1751</v>
      </c>
      <c r="AE29" s="254" t="s">
        <v>1751</v>
      </c>
      <c r="AF29" s="248" t="s">
        <v>1752</v>
      </c>
      <c r="AG29" s="249" t="s">
        <v>1753</v>
      </c>
      <c r="AH29" s="250" t="s">
        <v>1754</v>
      </c>
      <c r="AI29" s="251" t="s">
        <v>1755</v>
      </c>
    </row>
    <row r="30" spans="1:37" x14ac:dyDescent="0.2">
      <c r="A30" s="240">
        <v>12</v>
      </c>
      <c r="B30" s="231" t="str">
        <f>IF(' HPSheet'!$D72&lt;&gt;"",' HPSheet'!$D72,"")</f>
        <v/>
      </c>
      <c r="C30" s="450"/>
      <c r="D30" s="451"/>
      <c r="E30" s="452"/>
      <c r="F30" s="459" t="str">
        <f>IF(' HPSheet'!$H72&lt;&gt;"",' HPSheet'!$H72,"")</f>
        <v/>
      </c>
      <c r="G30" s="191"/>
      <c r="H30" s="1085" t="str">
        <f>IF(' HPSheet'!$K72&lt;&gt;"",' HPSheet'!$K72,"")</f>
        <v/>
      </c>
      <c r="I30" s="466" t="str">
        <f>IF(' HPSheet'!$L72&lt;&gt;"",' HPSheet'!$L72,"")</f>
        <v/>
      </c>
      <c r="J30" s="467"/>
      <c r="K30" s="468"/>
      <c r="L30" s="1086" t="str">
        <f>IF(' HPSheet'!$P72&lt;&gt;"",' HPSheet'!$P72,"")</f>
        <v/>
      </c>
      <c r="O30" s="231" t="str">
        <f>IF(' HPSheet'!D84&lt;&gt;"",' HPSheet'!D84,"")</f>
        <v/>
      </c>
      <c r="P30" s="456">
        <f>IF(' HPSheet'!H84&lt;&gt;"",' HPSheet'!H84,0)</f>
        <v>0</v>
      </c>
      <c r="Q30" s="492"/>
      <c r="R30" s="502">
        <f t="shared" si="12"/>
        <v>0</v>
      </c>
      <c r="S30" s="340">
        <f t="shared" si="13"/>
        <v>0</v>
      </c>
      <c r="T30" s="350">
        <f t="shared" si="14"/>
        <v>0</v>
      </c>
      <c r="U30" s="503">
        <f t="shared" si="15"/>
        <v>0</v>
      </c>
      <c r="V30" s="455">
        <f t="shared" si="16"/>
        <v>0</v>
      </c>
      <c r="W30" s="504">
        <f t="shared" si="17"/>
        <v>0</v>
      </c>
      <c r="Z30" s="245" t="s">
        <v>1790</v>
      </c>
      <c r="AA30" s="254" t="s">
        <v>1751</v>
      </c>
      <c r="AB30" s="254" t="s">
        <v>1751</v>
      </c>
      <c r="AC30" s="254" t="s">
        <v>1751</v>
      </c>
      <c r="AD30" s="254" t="s">
        <v>1751</v>
      </c>
      <c r="AE30" s="254" t="s">
        <v>1751</v>
      </c>
      <c r="AF30" s="254" t="s">
        <v>1751</v>
      </c>
      <c r="AG30" s="248" t="s">
        <v>1752</v>
      </c>
      <c r="AH30" s="249" t="s">
        <v>1753</v>
      </c>
      <c r="AI30" s="250" t="s">
        <v>1754</v>
      </c>
    </row>
    <row r="31" spans="1:37" ht="13.5" thickBot="1" x14ac:dyDescent="0.25">
      <c r="A31" s="240">
        <v>13</v>
      </c>
      <c r="B31" s="231" t="str">
        <f>IF(' HPSheet'!$D73&lt;&gt;"",' HPSheet'!$D73,"")</f>
        <v/>
      </c>
      <c r="C31" s="428"/>
      <c r="D31" s="428"/>
      <c r="E31" s="449"/>
      <c r="F31" s="459" t="str">
        <f>IF(' HPSheet'!$H73&lt;&gt;"",' HPSheet'!$H73,"")</f>
        <v/>
      </c>
      <c r="G31" s="191"/>
      <c r="H31" s="1087" t="str">
        <f>IF(' HPSheet'!$K73&lt;&gt;"",' HPSheet'!$K73,"")</f>
        <v/>
      </c>
      <c r="I31" s="1088" t="str">
        <f>IF(' HPSheet'!$L73&lt;&gt;"",' HPSheet'!$L73,"")</f>
        <v/>
      </c>
      <c r="J31" s="1089"/>
      <c r="K31" s="1090"/>
      <c r="L31" s="1091" t="str">
        <f>IF(' HPSheet'!$P73&lt;&gt;"",' HPSheet'!$P73,"")</f>
        <v/>
      </c>
      <c r="O31" s="231" t="str">
        <f>IF(' HPSheet'!D85&lt;&gt;"",' HPSheet'!D85,"")</f>
        <v/>
      </c>
      <c r="P31" s="456">
        <f>IF(' HPSheet'!H85&lt;&gt;"",' HPSheet'!H85,0)</f>
        <v>0</v>
      </c>
      <c r="Q31" s="492"/>
      <c r="R31" s="502">
        <f t="shared" si="12"/>
        <v>0</v>
      </c>
      <c r="S31" s="340">
        <f t="shared" si="13"/>
        <v>0</v>
      </c>
      <c r="T31" s="350">
        <f t="shared" si="14"/>
        <v>0</v>
      </c>
      <c r="U31" s="503">
        <f t="shared" si="15"/>
        <v>0</v>
      </c>
      <c r="V31" s="455">
        <f t="shared" si="16"/>
        <v>0</v>
      </c>
      <c r="W31" s="504">
        <f t="shared" si="17"/>
        <v>0</v>
      </c>
      <c r="Z31" s="245" t="s">
        <v>1791</v>
      </c>
      <c r="AA31" s="254" t="s">
        <v>1751</v>
      </c>
      <c r="AB31" s="254" t="s">
        <v>1751</v>
      </c>
      <c r="AC31" s="254" t="s">
        <v>1751</v>
      </c>
      <c r="AD31" s="254" t="s">
        <v>1751</v>
      </c>
      <c r="AE31" s="254" t="s">
        <v>1751</v>
      </c>
      <c r="AF31" s="254" t="s">
        <v>1751</v>
      </c>
      <c r="AG31" s="254" t="s">
        <v>1751</v>
      </c>
      <c r="AH31" s="248" t="s">
        <v>1752</v>
      </c>
      <c r="AI31" s="249" t="s">
        <v>1753</v>
      </c>
    </row>
    <row r="32" spans="1:37" x14ac:dyDescent="0.2">
      <c r="A32" s="240">
        <v>14</v>
      </c>
      <c r="B32" s="231" t="str">
        <f>IF(' HPSheet'!$D74&lt;&gt;"",' HPSheet'!$D74,"")</f>
        <v/>
      </c>
      <c r="C32" s="428"/>
      <c r="D32" s="447"/>
      <c r="E32" s="448"/>
      <c r="F32" s="459" t="str">
        <f>IF(' HPSheet'!$H74&lt;&gt;"",' HPSheet'!$H74,"")</f>
        <v/>
      </c>
      <c r="G32" s="191"/>
      <c r="H32" s="1080" t="str">
        <f>IF(' HPSheet'!$S61&lt;&gt;"",' HPSheet'!$S61,"")</f>
        <v/>
      </c>
      <c r="I32" s="1081" t="str">
        <f>IF(' HPSheet'!$T61&lt;&gt;"",' HPSheet'!$T61,"")</f>
        <v/>
      </c>
      <c r="J32" s="1082"/>
      <c r="K32" s="1083"/>
      <c r="L32" s="1084" t="str">
        <f>IF(' HPSheet'!$S61&lt;&gt;"",' HPSheet'!$S61,"")</f>
        <v/>
      </c>
      <c r="O32" s="231" t="str">
        <f>IF(' HPSheet'!D86&lt;&gt;"",' HPSheet'!D86,"")</f>
        <v/>
      </c>
      <c r="P32" s="456">
        <f>IF(' HPSheet'!H86&lt;&gt;"",' HPSheet'!H86,0)</f>
        <v>0</v>
      </c>
      <c r="Q32" s="492"/>
      <c r="R32" s="502">
        <f t="shared" si="12"/>
        <v>0</v>
      </c>
      <c r="S32" s="340">
        <f t="shared" si="13"/>
        <v>0</v>
      </c>
      <c r="T32" s="350">
        <f t="shared" si="14"/>
        <v>0</v>
      </c>
      <c r="U32" s="503">
        <f t="shared" si="15"/>
        <v>0</v>
      </c>
      <c r="V32" s="455">
        <f t="shared" si="16"/>
        <v>0</v>
      </c>
      <c r="W32" s="504">
        <f t="shared" si="17"/>
        <v>0</v>
      </c>
    </row>
    <row r="33" spans="1:36" x14ac:dyDescent="0.2">
      <c r="A33" s="240">
        <v>15</v>
      </c>
      <c r="B33" s="231" t="str">
        <f>IF(' HPSheet'!$D75&lt;&gt;"",' HPSheet'!$D75,"")</f>
        <v/>
      </c>
      <c r="C33" s="428"/>
      <c r="D33" s="447"/>
      <c r="E33" s="448"/>
      <c r="F33" s="459" t="str">
        <f>IF(' HPSheet'!$H75&lt;&gt;"",' HPSheet'!$H75,"")</f>
        <v/>
      </c>
      <c r="G33" s="191"/>
      <c r="H33" s="1085" t="str">
        <f>IF(' HPSheet'!$S62&lt;&gt;"",' HPSheet'!$S62,"")</f>
        <v/>
      </c>
      <c r="I33" s="466" t="str">
        <f>IF(' HPSheet'!$T62&lt;&gt;"",' HPSheet'!$T62,"")</f>
        <v/>
      </c>
      <c r="J33" s="467"/>
      <c r="K33" s="468"/>
      <c r="L33" s="1086" t="str">
        <f>IF(' HPSheet'!$S62&lt;&gt;"",' HPSheet'!$S62,"")</f>
        <v/>
      </c>
      <c r="O33" s="231" t="str">
        <f>IF(' HPSheet'!D87&lt;&gt;"",' HPSheet'!D87,"")</f>
        <v/>
      </c>
      <c r="P33" s="456">
        <f>IF(' HPSheet'!H87&lt;&gt;"",' HPSheet'!H87,0)</f>
        <v>0</v>
      </c>
      <c r="Q33" s="492"/>
      <c r="R33" s="502">
        <f t="shared" si="12"/>
        <v>0</v>
      </c>
      <c r="S33" s="340">
        <f t="shared" si="13"/>
        <v>0</v>
      </c>
      <c r="T33" s="350">
        <f t="shared" si="14"/>
        <v>0</v>
      </c>
      <c r="U33" s="503">
        <f t="shared" si="15"/>
        <v>0</v>
      </c>
      <c r="V33" s="455">
        <f t="shared" si="16"/>
        <v>0</v>
      </c>
      <c r="W33" s="504">
        <f t="shared" si="17"/>
        <v>0</v>
      </c>
    </row>
    <row r="34" spans="1:36" x14ac:dyDescent="0.2">
      <c r="A34" s="240">
        <v>16</v>
      </c>
      <c r="B34" s="231" t="str">
        <f>IF(' HPSheet'!$D76&lt;&gt;"",' HPSheet'!$D76,"")</f>
        <v/>
      </c>
      <c r="C34" s="428"/>
      <c r="D34" s="447"/>
      <c r="E34" s="448"/>
      <c r="F34" s="459" t="str">
        <f>IF(' HPSheet'!$H76&lt;&gt;"",' HPSheet'!$H76,"")</f>
        <v/>
      </c>
      <c r="G34" s="191"/>
      <c r="H34" s="1085" t="str">
        <f>IF(' HPSheet'!$S63&lt;&gt;"",' HPSheet'!$S63,"")</f>
        <v/>
      </c>
      <c r="I34" s="466" t="str">
        <f>IF(' HPSheet'!$T63&lt;&gt;"",' HPSheet'!$T63,"")</f>
        <v/>
      </c>
      <c r="J34" s="467"/>
      <c r="K34" s="468"/>
      <c r="L34" s="1086" t="str">
        <f>IF(' HPSheet'!$S63&lt;&gt;"",' HPSheet'!$S63,"")</f>
        <v/>
      </c>
      <c r="O34" s="231" t="str">
        <f>IF(' HPSheet'!D88&lt;&gt;"",' HPSheet'!D88,"")</f>
        <v/>
      </c>
      <c r="P34" s="456">
        <f>IF(' HPSheet'!H88&lt;&gt;"",' HPSheet'!H88,0)</f>
        <v>0</v>
      </c>
      <c r="Q34" s="492"/>
      <c r="R34" s="502">
        <f t="shared" si="12"/>
        <v>0</v>
      </c>
      <c r="S34" s="340">
        <f t="shared" si="13"/>
        <v>0</v>
      </c>
      <c r="T34" s="350">
        <f t="shared" si="14"/>
        <v>0</v>
      </c>
      <c r="U34" s="503">
        <f t="shared" si="15"/>
        <v>0</v>
      </c>
      <c r="V34" s="455">
        <f t="shared" si="16"/>
        <v>0</v>
      </c>
      <c r="W34" s="504">
        <f t="shared" si="17"/>
        <v>0</v>
      </c>
      <c r="Z34" s="243" t="s">
        <v>1763</v>
      </c>
      <c r="AA34" s="778"/>
      <c r="AB34" s="778"/>
      <c r="AC34" s="778"/>
      <c r="AD34" s="778"/>
      <c r="AE34" s="778"/>
      <c r="AF34" s="779"/>
    </row>
    <row r="35" spans="1:36" x14ac:dyDescent="0.2">
      <c r="A35" s="240">
        <v>17</v>
      </c>
      <c r="B35" s="231" t="str">
        <f>IF(' HPSheet'!$D77&lt;&gt;"",' HPSheet'!$D77,"")</f>
        <v/>
      </c>
      <c r="C35" s="428"/>
      <c r="D35" s="447"/>
      <c r="E35" s="448"/>
      <c r="F35" s="459" t="str">
        <f>IF(' HPSheet'!$H77&lt;&gt;"",' HPSheet'!$H77,"")</f>
        <v/>
      </c>
      <c r="G35" s="191"/>
      <c r="H35" s="1085" t="str">
        <f>IF(' HPSheet'!$S64&lt;&gt;"",' HPSheet'!$S64,"")</f>
        <v/>
      </c>
      <c r="I35" s="466" t="str">
        <f>IF(' HPSheet'!$T64&lt;&gt;"",' HPSheet'!$T64,"")</f>
        <v/>
      </c>
      <c r="J35" s="467"/>
      <c r="K35" s="468"/>
      <c r="L35" s="1086" t="str">
        <f>IF(' HPSheet'!$S64&lt;&gt;"",' HPSheet'!$S64,"")</f>
        <v/>
      </c>
      <c r="O35" s="231" t="str">
        <f>IF(' HPSheet'!D89&lt;&gt;"",' HPSheet'!D89,"")</f>
        <v/>
      </c>
      <c r="P35" s="456">
        <f>IF(' HPSheet'!H89&lt;&gt;"",' HPSheet'!H89,0)</f>
        <v>0</v>
      </c>
      <c r="Q35" s="492"/>
      <c r="R35" s="502">
        <f t="shared" si="12"/>
        <v>0</v>
      </c>
      <c r="S35" s="340">
        <f t="shared" si="13"/>
        <v>0</v>
      </c>
      <c r="T35" s="350">
        <f t="shared" si="14"/>
        <v>0</v>
      </c>
      <c r="U35" s="503">
        <f t="shared" si="15"/>
        <v>0</v>
      </c>
      <c r="V35" s="455">
        <f t="shared" si="16"/>
        <v>0</v>
      </c>
      <c r="W35" s="504">
        <f t="shared" si="17"/>
        <v>0</v>
      </c>
      <c r="Z35" s="1030" t="s">
        <v>3032</v>
      </c>
      <c r="AA35" s="778"/>
      <c r="AB35" s="778"/>
      <c r="AC35" s="778"/>
      <c r="AD35" s="778"/>
      <c r="AE35" s="778"/>
      <c r="AF35" s="779"/>
    </row>
    <row r="36" spans="1:36" x14ac:dyDescent="0.2">
      <c r="A36" s="240">
        <v>18</v>
      </c>
      <c r="B36" s="231" t="str">
        <f>IF(' HPSheet'!$D78&lt;&gt;"",' HPSheet'!$D78,"")</f>
        <v/>
      </c>
      <c r="C36" s="428"/>
      <c r="D36" s="447"/>
      <c r="E36" s="448"/>
      <c r="F36" s="459" t="str">
        <f>IF(' HPSheet'!$H78&lt;&gt;"",' HPSheet'!$H78,"")</f>
        <v/>
      </c>
      <c r="G36" s="191"/>
      <c r="H36" s="1085" t="str">
        <f>IF(' HPSheet'!$S65&lt;&gt;"",' HPSheet'!$S65,"")</f>
        <v/>
      </c>
      <c r="I36" s="466" t="str">
        <f>IF(' HPSheet'!$T65&lt;&gt;"",' HPSheet'!$T65,"")</f>
        <v/>
      </c>
      <c r="J36" s="467"/>
      <c r="K36" s="468"/>
      <c r="L36" s="1086" t="str">
        <f>IF(' HPSheet'!$S65&lt;&gt;"",' HPSheet'!$S65,"")</f>
        <v/>
      </c>
      <c r="O36" s="231" t="str">
        <f>IF(' HPSheet'!D90&lt;&gt;"",' HPSheet'!D90,"")</f>
        <v/>
      </c>
      <c r="P36" s="456">
        <f>IF(' HPSheet'!H90&lt;&gt;"",' HPSheet'!H90,0)</f>
        <v>0</v>
      </c>
      <c r="Q36" s="492"/>
      <c r="R36" s="502">
        <f t="shared" si="12"/>
        <v>0</v>
      </c>
      <c r="S36" s="340">
        <f t="shared" si="13"/>
        <v>0</v>
      </c>
      <c r="T36" s="350">
        <f t="shared" si="14"/>
        <v>0</v>
      </c>
      <c r="U36" s="503">
        <f t="shared" si="15"/>
        <v>0</v>
      </c>
      <c r="V36" s="455">
        <f t="shared" si="16"/>
        <v>0</v>
      </c>
      <c r="W36" s="504">
        <f t="shared" si="17"/>
        <v>0</v>
      </c>
      <c r="Z36" s="780" t="s">
        <v>1765</v>
      </c>
      <c r="AA36" s="1516" t="s">
        <v>2555</v>
      </c>
      <c r="AB36" s="1507"/>
      <c r="AC36" s="1507"/>
      <c r="AD36" s="1508" t="s">
        <v>2554</v>
      </c>
      <c r="AE36" s="1509"/>
      <c r="AF36" s="1510"/>
      <c r="AH36" s="797" t="s">
        <v>2583</v>
      </c>
      <c r="AI36" s="798"/>
      <c r="AJ36" s="799"/>
    </row>
    <row r="37" spans="1:36" x14ac:dyDescent="0.2">
      <c r="A37" s="240">
        <v>19</v>
      </c>
      <c r="B37" s="231" t="str">
        <f>IF(' HPSheet'!$D79&lt;&gt;"",' HPSheet'!$D79,"")</f>
        <v/>
      </c>
      <c r="C37" s="450"/>
      <c r="D37" s="451"/>
      <c r="E37" s="452"/>
      <c r="F37" s="459" t="str">
        <f>IF(' HPSheet'!$H79&lt;&gt;"",' HPSheet'!$H79,"")</f>
        <v/>
      </c>
      <c r="G37" s="191"/>
      <c r="H37" s="1085" t="str">
        <f>IF(' HPSheet'!$S66&lt;&gt;"",' HPSheet'!$S66,"")</f>
        <v/>
      </c>
      <c r="I37" s="466" t="str">
        <f>IF(' HPSheet'!$T66&lt;&gt;"",' HPSheet'!$T66,"")</f>
        <v/>
      </c>
      <c r="J37" s="467"/>
      <c r="K37" s="468"/>
      <c r="L37" s="1086" t="str">
        <f>IF(' HPSheet'!$S66&lt;&gt;"",' HPSheet'!$S66,"")</f>
        <v/>
      </c>
      <c r="O37" s="231" t="str">
        <f>IF(' HPSheet'!D91&lt;&gt;"",' HPSheet'!D91,"")</f>
        <v/>
      </c>
      <c r="P37" s="456">
        <f>IF(' HPSheet'!H91&lt;&gt;"",' HPSheet'!H91,0)</f>
        <v>0</v>
      </c>
      <c r="Q37" s="492"/>
      <c r="R37" s="502">
        <f t="shared" si="12"/>
        <v>0</v>
      </c>
      <c r="S37" s="340">
        <f t="shared" si="13"/>
        <v>0</v>
      </c>
      <c r="T37" s="350">
        <f t="shared" si="14"/>
        <v>0</v>
      </c>
      <c r="U37" s="503">
        <f t="shared" si="15"/>
        <v>0</v>
      </c>
      <c r="V37" s="455">
        <f t="shared" si="16"/>
        <v>0</v>
      </c>
      <c r="W37" s="504">
        <f t="shared" si="17"/>
        <v>0</v>
      </c>
      <c r="Z37" s="781" t="s">
        <v>1776</v>
      </c>
      <c r="AA37" s="1506" t="s">
        <v>2556</v>
      </c>
      <c r="AB37" s="1507"/>
      <c r="AC37" s="1507"/>
      <c r="AD37" s="1506" t="s">
        <v>2552</v>
      </c>
      <c r="AE37" s="1509"/>
      <c r="AF37" s="1510"/>
      <c r="AH37" s="791" t="s">
        <v>2571</v>
      </c>
      <c r="AI37" s="800" t="s">
        <v>2572</v>
      </c>
      <c r="AJ37" s="792"/>
    </row>
    <row r="38" spans="1:36" x14ac:dyDescent="0.2">
      <c r="A38" s="240">
        <v>20</v>
      </c>
      <c r="B38" s="231" t="str">
        <f>IF(' HPSheet'!$D80&lt;&gt;"",' HPSheet'!$D80,"")</f>
        <v/>
      </c>
      <c r="C38" s="450"/>
      <c r="D38" s="451"/>
      <c r="E38" s="452"/>
      <c r="F38" s="459" t="str">
        <f>IF(' HPSheet'!$H80&lt;&gt;"",' HPSheet'!$H80,"")</f>
        <v/>
      </c>
      <c r="G38" s="191"/>
      <c r="H38" s="1085" t="str">
        <f>IF(' HPSheet'!$S67&lt;&gt;"",' HPSheet'!$S67,"")</f>
        <v/>
      </c>
      <c r="I38" s="466" t="str">
        <f>IF(' HPSheet'!$T67&lt;&gt;"",' HPSheet'!$T67,"")</f>
        <v/>
      </c>
      <c r="J38" s="467"/>
      <c r="K38" s="468"/>
      <c r="L38" s="1086" t="str">
        <f>IF(' HPSheet'!$S67&lt;&gt;"",' HPSheet'!$S67,"")</f>
        <v/>
      </c>
      <c r="O38" s="231" t="str">
        <f>IF(' HPSheet'!D92&lt;&gt;"",' HPSheet'!D92,"")</f>
        <v/>
      </c>
      <c r="P38" s="456">
        <f>IF(' HPSheet'!H92&lt;&gt;"",' HPSheet'!H92,0)</f>
        <v>0</v>
      </c>
      <c r="Q38" s="492"/>
      <c r="R38" s="502">
        <f t="shared" si="12"/>
        <v>0</v>
      </c>
      <c r="S38" s="340">
        <f t="shared" si="13"/>
        <v>0</v>
      </c>
      <c r="T38" s="350">
        <f t="shared" si="14"/>
        <v>0</v>
      </c>
      <c r="U38" s="503">
        <f t="shared" si="15"/>
        <v>0</v>
      </c>
      <c r="V38" s="455">
        <f t="shared" si="16"/>
        <v>0</v>
      </c>
      <c r="W38" s="504">
        <f t="shared" si="17"/>
        <v>0</v>
      </c>
      <c r="Z38" s="372" t="s">
        <v>1776</v>
      </c>
      <c r="AA38" s="1517" t="s">
        <v>2557</v>
      </c>
      <c r="AB38" s="1518"/>
      <c r="AC38" s="1518"/>
      <c r="AD38" s="1511" t="s">
        <v>2564</v>
      </c>
      <c r="AE38" s="1512"/>
      <c r="AF38" s="1513"/>
      <c r="AH38" s="791" t="s">
        <v>2573</v>
      </c>
      <c r="AI38" s="800" t="s">
        <v>2582</v>
      </c>
      <c r="AJ38" s="792"/>
    </row>
    <row r="39" spans="1:36" x14ac:dyDescent="0.2">
      <c r="A39" s="240">
        <v>21</v>
      </c>
      <c r="B39" s="231" t="str">
        <f>IF(' HPSheet'!$D81&lt;&gt;"",' HPSheet'!$D81,"")</f>
        <v/>
      </c>
      <c r="C39" s="453"/>
      <c r="D39" s="453"/>
      <c r="E39" s="454"/>
      <c r="F39" s="459" t="str">
        <f>IF(' HPSheet'!$H81&lt;&gt;"",' HPSheet'!$H81,"")</f>
        <v/>
      </c>
      <c r="G39" s="191"/>
      <c r="H39" s="1085" t="str">
        <f>IF(' HPSheet'!$S68&lt;&gt;"",' HPSheet'!$S68,"")</f>
        <v/>
      </c>
      <c r="I39" s="466" t="str">
        <f>IF(' HPSheet'!$T68&lt;&gt;"",' HPSheet'!$T68,"")</f>
        <v/>
      </c>
      <c r="J39" s="467"/>
      <c r="K39" s="468"/>
      <c r="L39" s="1086" t="str">
        <f>IF(' HPSheet'!$S68&lt;&gt;"",' HPSheet'!$S68,"")</f>
        <v/>
      </c>
      <c r="O39" s="231" t="str">
        <f>IF(' HPSheet'!D93&lt;&gt;"",' HPSheet'!D93,"")</f>
        <v/>
      </c>
      <c r="P39" s="456">
        <f>IF(' HPSheet'!H93&lt;&gt;"",' HPSheet'!H93,0)</f>
        <v>0</v>
      </c>
      <c r="Q39" s="492"/>
      <c r="R39" s="502">
        <f t="shared" si="12"/>
        <v>0</v>
      </c>
      <c r="S39" s="340">
        <f t="shared" si="13"/>
        <v>0</v>
      </c>
      <c r="T39" s="350">
        <f t="shared" si="14"/>
        <v>0</v>
      </c>
      <c r="U39" s="503">
        <f t="shared" si="15"/>
        <v>0</v>
      </c>
      <c r="V39" s="455">
        <f t="shared" si="16"/>
        <v>0</v>
      </c>
      <c r="W39" s="504">
        <f t="shared" si="17"/>
        <v>0</v>
      </c>
      <c r="Z39" s="782" t="s">
        <v>1781</v>
      </c>
      <c r="AA39" s="1504" t="s">
        <v>2558</v>
      </c>
      <c r="AB39" s="1505"/>
      <c r="AC39" s="1505"/>
      <c r="AD39" s="1504" t="s">
        <v>2553</v>
      </c>
      <c r="AE39" s="1514"/>
      <c r="AF39" s="1515"/>
      <c r="AH39" s="791" t="s">
        <v>2574</v>
      </c>
      <c r="AI39" s="800" t="s">
        <v>2575</v>
      </c>
      <c r="AJ39" s="792"/>
    </row>
    <row r="40" spans="1:36" x14ac:dyDescent="0.2">
      <c r="A40" s="240">
        <v>22</v>
      </c>
      <c r="B40" s="231" t="str">
        <f>IF(' HPSheet'!$D82&lt;&gt;"",' HPSheet'!$D82,"")</f>
        <v/>
      </c>
      <c r="C40" s="428"/>
      <c r="D40" s="447"/>
      <c r="E40" s="447"/>
      <c r="F40" s="459" t="str">
        <f>IF(' HPSheet'!$H82&lt;&gt;"",' HPSheet'!$H82,"")</f>
        <v/>
      </c>
      <c r="G40" s="191"/>
      <c r="H40" s="1085" t="str">
        <f>IF(' HPSheet'!$S69&lt;&gt;"",' HPSheet'!$S69,"")</f>
        <v/>
      </c>
      <c r="I40" s="466" t="str">
        <f>IF(' HPSheet'!$T69&lt;&gt;"",' HPSheet'!$T69,"")</f>
        <v/>
      </c>
      <c r="J40" s="467"/>
      <c r="K40" s="468"/>
      <c r="L40" s="1086" t="str">
        <f>IF(' HPSheet'!$S69&lt;&gt;"",' HPSheet'!$S69,"")</f>
        <v/>
      </c>
      <c r="O40" s="349" t="str">
        <f>IF(' HPSheet'!D94&lt;&gt;"",' HPSheet'!D94,"")</f>
        <v/>
      </c>
      <c r="P40" s="456">
        <f>IF(' HPSheet'!H94&lt;&gt;"",' HPSheet'!H94,0)</f>
        <v>0</v>
      </c>
      <c r="Q40" s="492"/>
      <c r="R40" s="502">
        <f t="shared" si="12"/>
        <v>0</v>
      </c>
      <c r="S40" s="340">
        <f t="shared" si="13"/>
        <v>0</v>
      </c>
      <c r="T40" s="350">
        <f t="shared" si="14"/>
        <v>0</v>
      </c>
      <c r="U40" s="503">
        <f t="shared" si="15"/>
        <v>0</v>
      </c>
      <c r="V40" s="455">
        <f t="shared" si="16"/>
        <v>0</v>
      </c>
      <c r="W40" s="504">
        <f t="shared" si="17"/>
        <v>0</v>
      </c>
      <c r="Z40" s="781" t="s">
        <v>1783</v>
      </c>
      <c r="AA40" s="1506" t="s">
        <v>2559</v>
      </c>
      <c r="AB40" s="1507"/>
      <c r="AC40" s="1507"/>
      <c r="AD40" s="1506" t="s">
        <v>2563</v>
      </c>
      <c r="AE40" s="1509"/>
      <c r="AF40" s="1510"/>
      <c r="AH40" s="795" t="s">
        <v>2576</v>
      </c>
      <c r="AI40" s="801" t="s">
        <v>2577</v>
      </c>
      <c r="AJ40" s="796"/>
    </row>
    <row r="41" spans="1:36" x14ac:dyDescent="0.2">
      <c r="A41" s="240">
        <v>23</v>
      </c>
      <c r="B41" s="231" t="str">
        <f>IF(' HPSheet'!$D83&lt;&gt;"",' HPSheet'!$D83,"")</f>
        <v/>
      </c>
      <c r="C41" s="428"/>
      <c r="D41" s="447"/>
      <c r="E41" s="447"/>
      <c r="F41" s="459" t="str">
        <f>IF(' HPSheet'!$H83&lt;&gt;"",' HPSheet'!$H83,"")</f>
        <v/>
      </c>
      <c r="G41" s="191"/>
      <c r="H41" s="1085" t="str">
        <f>IF(' HPSheet'!$S70&lt;&gt;"",' HPSheet'!$S70,"")</f>
        <v/>
      </c>
      <c r="I41" s="466" t="str">
        <f>IF(' HPSheet'!$T70&lt;&gt;"",' HPSheet'!$T70,"")</f>
        <v/>
      </c>
      <c r="J41" s="467"/>
      <c r="K41" s="468"/>
      <c r="L41" s="1086" t="str">
        <f>IF(' HPSheet'!$S70&lt;&gt;"",' HPSheet'!$S70,"")</f>
        <v/>
      </c>
      <c r="O41" s="505" t="str">
        <f>IF(' HPSheet'!D95&lt;&gt;"",' HPSheet'!D95,"")</f>
        <v/>
      </c>
      <c r="P41" s="456">
        <f>IF(' HPSheet'!H95&lt;&gt;"",' HPSheet'!H95,0)</f>
        <v>0</v>
      </c>
      <c r="Q41" s="492"/>
      <c r="R41" s="502">
        <f t="shared" si="12"/>
        <v>0</v>
      </c>
      <c r="S41" s="340">
        <f t="shared" si="13"/>
        <v>0</v>
      </c>
      <c r="T41" s="350">
        <f t="shared" si="14"/>
        <v>0</v>
      </c>
      <c r="U41" s="503">
        <f t="shared" si="15"/>
        <v>0</v>
      </c>
      <c r="V41" s="455">
        <f t="shared" si="16"/>
        <v>0</v>
      </c>
      <c r="W41" s="504">
        <f t="shared" si="17"/>
        <v>0</v>
      </c>
      <c r="Z41" s="265" t="s">
        <v>1783</v>
      </c>
      <c r="AA41" s="1498" t="s">
        <v>2560</v>
      </c>
      <c r="AB41" s="1499"/>
      <c r="AC41" s="1499"/>
      <c r="AD41" s="1498"/>
      <c r="AE41" s="1500"/>
      <c r="AF41" s="1501"/>
      <c r="AH41" s="793" t="s">
        <v>2578</v>
      </c>
      <c r="AI41" s="802" t="s">
        <v>2579</v>
      </c>
      <c r="AJ41" s="794"/>
    </row>
    <row r="42" spans="1:36" x14ac:dyDescent="0.2">
      <c r="A42" s="240">
        <v>24</v>
      </c>
      <c r="B42" s="231" t="str">
        <f>IF(' HPSheet'!$D84&lt;&gt;"",' HPSheet'!$D84,"")</f>
        <v/>
      </c>
      <c r="C42" s="428"/>
      <c r="D42" s="447"/>
      <c r="E42" s="447"/>
      <c r="F42" s="459" t="str">
        <f>IF(' HPSheet'!$H84&lt;&gt;"",' HPSheet'!$H84,"")</f>
        <v/>
      </c>
      <c r="G42" s="191"/>
      <c r="H42" s="1085" t="str">
        <f>IF(' HPSheet'!$S71&lt;&gt;"",' HPSheet'!$S71,"")</f>
        <v/>
      </c>
      <c r="I42" s="466" t="str">
        <f>IF(' HPSheet'!$T71&lt;&gt;"",' HPSheet'!$T71,"")</f>
        <v/>
      </c>
      <c r="J42" s="467"/>
      <c r="K42" s="468"/>
      <c r="L42" s="1086" t="str">
        <f>IF(' HPSheet'!$S71&lt;&gt;"",' HPSheet'!$S71,"")</f>
        <v/>
      </c>
      <c r="O42" s="349" t="str">
        <f>IF(' HPSheet'!D96&lt;&gt;"",' HPSheet'!D96,"")</f>
        <v/>
      </c>
      <c r="P42" s="230">
        <f>IF(' HPSheet'!H96&lt;&gt;"",' HPSheet'!H96,0)</f>
        <v>0</v>
      </c>
      <c r="Q42" s="492"/>
      <c r="R42" s="502">
        <f t="shared" si="12"/>
        <v>0</v>
      </c>
      <c r="S42" s="340">
        <f t="shared" si="13"/>
        <v>0</v>
      </c>
      <c r="T42" s="350">
        <f t="shared" si="14"/>
        <v>0</v>
      </c>
      <c r="U42" s="503">
        <f t="shared" si="15"/>
        <v>0</v>
      </c>
      <c r="V42" s="455">
        <f t="shared" si="16"/>
        <v>0</v>
      </c>
      <c r="W42" s="504">
        <f t="shared" si="17"/>
        <v>0</v>
      </c>
      <c r="Z42" s="265" t="s">
        <v>1786</v>
      </c>
      <c r="AA42" s="1498" t="s">
        <v>2561</v>
      </c>
      <c r="AB42" s="1499"/>
      <c r="AC42" s="1499"/>
      <c r="AD42" s="1498"/>
      <c r="AE42" s="1500"/>
      <c r="AF42" s="1501"/>
      <c r="AH42" s="793" t="s">
        <v>2580</v>
      </c>
      <c r="AI42" s="802" t="s">
        <v>2581</v>
      </c>
      <c r="AJ42" s="794"/>
    </row>
    <row r="43" spans="1:36" x14ac:dyDescent="0.2">
      <c r="A43" s="240">
        <v>25</v>
      </c>
      <c r="B43" s="231" t="str">
        <f>IF(' HPSheet'!$D85&lt;&gt;"",' HPSheet'!$D85,"")</f>
        <v/>
      </c>
      <c r="C43" s="428"/>
      <c r="D43" s="447"/>
      <c r="E43" s="447"/>
      <c r="F43" s="459" t="str">
        <f>IF(' HPSheet'!$H85&lt;&gt;"",' HPSheet'!$H85,"")</f>
        <v/>
      </c>
      <c r="G43" s="191"/>
      <c r="H43" s="1085" t="str">
        <f>IF(' HPSheet'!$S72&lt;&gt;"",' HPSheet'!$S72,"")</f>
        <v/>
      </c>
      <c r="I43" s="466" t="str">
        <f>IF(' HPSheet'!$T72&lt;&gt;"",' HPSheet'!$T72,"")</f>
        <v/>
      </c>
      <c r="J43" s="467"/>
      <c r="K43" s="468"/>
      <c r="L43" s="1086" t="str">
        <f>IF(' HPSheet'!$S72&lt;&gt;"",' HPSheet'!$S72,"")</f>
        <v/>
      </c>
      <c r="O43" s="457" t="str">
        <f>IF(' HPSheet'!D97&lt;&gt;"",' HPSheet'!D97,"")</f>
        <v/>
      </c>
      <c r="P43" s="230">
        <f>IF(' HPSheet'!H97&lt;&gt;"",' HPSheet'!H97,0)</f>
        <v>0</v>
      </c>
      <c r="Q43" s="492"/>
      <c r="R43" s="502">
        <f t="shared" si="12"/>
        <v>0</v>
      </c>
      <c r="S43" s="340">
        <f t="shared" si="13"/>
        <v>0</v>
      </c>
      <c r="T43" s="350">
        <f t="shared" si="14"/>
        <v>0</v>
      </c>
      <c r="U43" s="503">
        <f t="shared" si="15"/>
        <v>0</v>
      </c>
      <c r="V43" s="455">
        <f t="shared" si="16"/>
        <v>0</v>
      </c>
      <c r="W43" s="504">
        <f t="shared" si="17"/>
        <v>0</v>
      </c>
      <c r="Z43" s="265" t="s">
        <v>1788</v>
      </c>
      <c r="AA43" s="1498" t="s">
        <v>2562</v>
      </c>
      <c r="AB43" s="1499"/>
      <c r="AC43" s="1499"/>
      <c r="AD43" s="1498"/>
      <c r="AE43" s="1500"/>
      <c r="AF43" s="1501"/>
    </row>
    <row r="44" spans="1:36" ht="13.5" thickBot="1" x14ac:dyDescent="0.25">
      <c r="A44" s="240">
        <v>26</v>
      </c>
      <c r="B44" s="231" t="str">
        <f>IF(' HPSheet'!$D86&lt;&gt;"",' HPSheet'!$D86,"")</f>
        <v/>
      </c>
      <c r="C44" s="428"/>
      <c r="D44" s="447"/>
      <c r="E44" s="447"/>
      <c r="F44" s="459" t="str">
        <f>IF(' HPSheet'!$H86&lt;&gt;"",' HPSheet'!$H86,"")</f>
        <v/>
      </c>
      <c r="G44" s="191"/>
      <c r="H44" s="1087" t="str">
        <f>IF(' HPSheet'!$S73&lt;&gt;"",' HPSheet'!$S73,"")</f>
        <v/>
      </c>
      <c r="I44" s="1088" t="str">
        <f>IF(' HPSheet'!$T73&lt;&gt;"",' HPSheet'!$T73,"")</f>
        <v/>
      </c>
      <c r="J44" s="1089"/>
      <c r="K44" s="1090"/>
      <c r="L44" s="1091" t="str">
        <f>IF(' HPSheet'!$S73&lt;&gt;"",' HPSheet'!$S73,"")</f>
        <v/>
      </c>
      <c r="O44" s="231" t="str">
        <f>IF(' HPSheet'!D98&lt;&gt;"",' HPSheet'!D98,"")</f>
        <v/>
      </c>
      <c r="P44" s="456">
        <f>IF(' HPSheet'!H98&lt;&gt;"",' HPSheet'!H98,0)</f>
        <v>0</v>
      </c>
      <c r="Q44" s="492"/>
      <c r="R44" s="502">
        <f t="shared" si="12"/>
        <v>0</v>
      </c>
      <c r="S44" s="340">
        <f t="shared" si="13"/>
        <v>0</v>
      </c>
      <c r="T44" s="350">
        <f t="shared" si="14"/>
        <v>0</v>
      </c>
      <c r="U44" s="503">
        <f t="shared" si="15"/>
        <v>0</v>
      </c>
      <c r="V44" s="455">
        <f t="shared" si="16"/>
        <v>0</v>
      </c>
      <c r="W44" s="504">
        <f t="shared" si="17"/>
        <v>0</v>
      </c>
    </row>
    <row r="45" spans="1:36" ht="13.5" thickBot="1" x14ac:dyDescent="0.25">
      <c r="A45" s="240">
        <v>27</v>
      </c>
      <c r="B45" s="231" t="str">
        <f>IF(' HPSheet'!$D87&lt;&gt;"",' HPSheet'!$D87,"")</f>
        <v/>
      </c>
      <c r="C45" s="428"/>
      <c r="D45" s="447"/>
      <c r="E45" s="447"/>
      <c r="F45" s="459" t="str">
        <f>IF(' HPSheet'!$H87&lt;&gt;"",' HPSheet'!$H87,"")</f>
        <v/>
      </c>
      <c r="G45" s="191"/>
      <c r="H45" s="215" t="s">
        <v>3241</v>
      </c>
      <c r="L45" s="211"/>
      <c r="O45" s="231" t="str">
        <f>IF(' HPSheet'!D99&lt;&gt;"",' HPSheet'!D99,"")</f>
        <v/>
      </c>
      <c r="P45" s="456">
        <f>IF(' HPSheet'!H99&lt;&gt;"",' HPSheet'!H99,0)</f>
        <v>0</v>
      </c>
      <c r="Q45" s="492"/>
      <c r="R45" s="502">
        <f t="shared" si="12"/>
        <v>0</v>
      </c>
      <c r="S45" s="340">
        <f t="shared" si="13"/>
        <v>0</v>
      </c>
      <c r="T45" s="350">
        <f t="shared" si="14"/>
        <v>0</v>
      </c>
      <c r="U45" s="503">
        <f t="shared" si="15"/>
        <v>0</v>
      </c>
      <c r="V45" s="455">
        <f t="shared" si="16"/>
        <v>0</v>
      </c>
      <c r="W45" s="504">
        <f t="shared" si="17"/>
        <v>0</v>
      </c>
      <c r="Z45" s="483" t="s">
        <v>2206</v>
      </c>
      <c r="AA45" s="484"/>
      <c r="AB45" s="484"/>
      <c r="AC45" s="485"/>
      <c r="AD45" s="485"/>
    </row>
    <row r="46" spans="1:36" ht="13.5" thickBot="1" x14ac:dyDescent="0.25">
      <c r="A46" s="240">
        <v>28</v>
      </c>
      <c r="B46" s="231" t="str">
        <f>IF(' HPSheet'!$D88&lt;&gt;"",' HPSheet'!$D88,"")</f>
        <v/>
      </c>
      <c r="C46" s="428"/>
      <c r="D46" s="447"/>
      <c r="E46" s="447"/>
      <c r="F46" s="459" t="str">
        <f>IF(' HPSheet'!$H88&lt;&gt;"",' HPSheet'!$H88,"")</f>
        <v/>
      </c>
      <c r="G46" s="191"/>
      <c r="H46" s="268"/>
      <c r="I46" s="269"/>
      <c r="J46" s="226"/>
      <c r="K46" s="226"/>
      <c r="L46" s="235"/>
      <c r="O46" s="231" t="str">
        <f>IF(' HPSheet'!D100&lt;&gt;"",' HPSheet'!D100,"")</f>
        <v/>
      </c>
      <c r="P46" s="456">
        <f>IF(' HPSheet'!H100&lt;&gt;"",' HPSheet'!H100,0)</f>
        <v>0</v>
      </c>
      <c r="Q46" s="492"/>
      <c r="R46" s="502">
        <f t="shared" si="12"/>
        <v>0</v>
      </c>
      <c r="S46" s="340">
        <f t="shared" si="13"/>
        <v>0</v>
      </c>
      <c r="T46" s="350">
        <f t="shared" si="14"/>
        <v>0</v>
      </c>
      <c r="U46" s="503">
        <f t="shared" si="15"/>
        <v>0</v>
      </c>
      <c r="V46" s="455">
        <f t="shared" si="16"/>
        <v>0</v>
      </c>
      <c r="W46" s="504">
        <f t="shared" si="17"/>
        <v>0</v>
      </c>
      <c r="Z46" s="486" t="s">
        <v>1993</v>
      </c>
      <c r="AA46" s="487" t="s">
        <v>2208</v>
      </c>
      <c r="AB46" s="487"/>
      <c r="AC46" s="488"/>
      <c r="AD46" s="488"/>
    </row>
    <row r="47" spans="1:36" x14ac:dyDescent="0.2">
      <c r="A47" s="240">
        <v>29</v>
      </c>
      <c r="B47" s="231" t="str">
        <f>IF(' HPSheet'!$D89&lt;&gt;"",' HPSheet'!$D89,"")</f>
        <v/>
      </c>
      <c r="C47" s="428"/>
      <c r="D47" s="447"/>
      <c r="E47" s="447"/>
      <c r="F47" s="459" t="str">
        <f>IF(' HPSheet'!$H89&lt;&gt;"",' HPSheet'!$H89,"")</f>
        <v/>
      </c>
      <c r="G47" s="191"/>
      <c r="H47" s="1194"/>
      <c r="I47" s="1195"/>
      <c r="J47" s="1196"/>
      <c r="K47" s="1196" t="s">
        <v>3028</v>
      </c>
      <c r="L47" s="1197">
        <f>' HPSheet'!W105</f>
        <v>0</v>
      </c>
      <c r="M47" s="239" t="s">
        <v>2394</v>
      </c>
      <c r="O47" s="231" t="str">
        <f>IF(' HPSheet'!D101&lt;&gt;"",' HPSheet'!D101,"")</f>
        <v/>
      </c>
      <c r="P47" s="456">
        <f>IF(' HPSheet'!H101&lt;&gt;"",' HPSheet'!H101,0)</f>
        <v>0</v>
      </c>
      <c r="Q47" s="492"/>
      <c r="R47" s="502">
        <f t="shared" si="12"/>
        <v>0</v>
      </c>
      <c r="S47" s="340">
        <f t="shared" si="13"/>
        <v>0</v>
      </c>
      <c r="T47" s="350">
        <f t="shared" si="14"/>
        <v>0</v>
      </c>
      <c r="U47" s="503">
        <f t="shared" si="15"/>
        <v>0</v>
      </c>
      <c r="V47" s="455">
        <f t="shared" si="16"/>
        <v>0</v>
      </c>
      <c r="W47" s="504">
        <f t="shared" si="17"/>
        <v>0</v>
      </c>
      <c r="Z47" s="486" t="s">
        <v>2202</v>
      </c>
      <c r="AA47" s="487" t="s">
        <v>2209</v>
      </c>
      <c r="AB47" s="487"/>
      <c r="AC47" s="488"/>
      <c r="AD47" s="488"/>
    </row>
    <row r="48" spans="1:36" x14ac:dyDescent="0.2">
      <c r="A48" s="240">
        <v>30</v>
      </c>
      <c r="B48" s="231" t="str">
        <f>IF(' HPSheet'!$D90&lt;&gt;"",' HPSheet'!$D90,"")</f>
        <v/>
      </c>
      <c r="C48" s="428"/>
      <c r="D48" s="428"/>
      <c r="E48" s="447"/>
      <c r="F48" s="459" t="str">
        <f>IF(' HPSheet'!$H90&lt;&gt;"",' HPSheet'!$H90,"")</f>
        <v/>
      </c>
      <c r="G48" s="191"/>
      <c r="H48" s="1198"/>
      <c r="I48" s="1199"/>
      <c r="J48" s="1200"/>
      <c r="K48" s="1200" t="s">
        <v>3027</v>
      </c>
      <c r="L48" s="1201">
        <f>' HPSheet'!W104</f>
        <v>0</v>
      </c>
      <c r="M48" s="239" t="s">
        <v>2394</v>
      </c>
      <c r="O48" s="231" t="str">
        <f>IF(' HPSheet'!D102&lt;&gt;"",' HPSheet'!D102,"")</f>
        <v/>
      </c>
      <c r="P48" s="456">
        <f>IF(' HPSheet'!H102&lt;&gt;"",' HPSheet'!H102,0)</f>
        <v>0</v>
      </c>
      <c r="Q48" s="492"/>
      <c r="R48" s="502">
        <f t="shared" si="12"/>
        <v>0</v>
      </c>
      <c r="S48" s="340">
        <f t="shared" si="13"/>
        <v>0</v>
      </c>
      <c r="T48" s="350">
        <f t="shared" si="14"/>
        <v>0</v>
      </c>
      <c r="U48" s="503">
        <f t="shared" si="15"/>
        <v>0</v>
      </c>
      <c r="V48" s="455">
        <f t="shared" si="16"/>
        <v>0</v>
      </c>
      <c r="W48" s="504">
        <f t="shared" si="17"/>
        <v>0</v>
      </c>
      <c r="X48" s="245"/>
      <c r="Z48" s="486" t="s">
        <v>2203</v>
      </c>
      <c r="AA48" s="487" t="s">
        <v>2210</v>
      </c>
      <c r="AB48" s="487"/>
      <c r="AC48" s="488"/>
      <c r="AD48" s="488"/>
    </row>
    <row r="49" spans="1:30" x14ac:dyDescent="0.2">
      <c r="A49" s="240">
        <v>31</v>
      </c>
      <c r="B49" s="231" t="str">
        <f>IF(' HPSheet'!$D91&lt;&gt;"",' HPSheet'!$D91,"")</f>
        <v/>
      </c>
      <c r="C49" s="428"/>
      <c r="D49" s="428"/>
      <c r="E49" s="447"/>
      <c r="F49" s="459" t="str">
        <f>IF(' HPSheet'!$H91&lt;&gt;"",' HPSheet'!$H91,"")</f>
        <v/>
      </c>
      <c r="G49" s="191"/>
      <c r="H49" s="1198"/>
      <c r="I49" s="1199"/>
      <c r="J49" s="1202"/>
      <c r="K49" s="1202" t="s">
        <v>3026</v>
      </c>
      <c r="L49" s="1201">
        <f>L47+L48</f>
        <v>0</v>
      </c>
      <c r="M49" s="238"/>
      <c r="O49" s="231" t="str">
        <f>IF(' HPSheet'!D103&lt;&gt;"",' HPSheet'!D103,"")</f>
        <v/>
      </c>
      <c r="P49" s="456">
        <f>IF(' HPSheet'!H103&lt;&gt;"",' HPSheet'!H103,0)</f>
        <v>0</v>
      </c>
      <c r="Q49" s="492"/>
      <c r="R49" s="502">
        <f t="shared" si="12"/>
        <v>0</v>
      </c>
      <c r="S49" s="340">
        <f t="shared" si="13"/>
        <v>0</v>
      </c>
      <c r="T49" s="350">
        <f t="shared" si="14"/>
        <v>0</v>
      </c>
      <c r="U49" s="503">
        <f t="shared" si="15"/>
        <v>0</v>
      </c>
      <c r="V49" s="455">
        <f t="shared" si="16"/>
        <v>0</v>
      </c>
      <c r="W49" s="504">
        <f t="shared" si="17"/>
        <v>0</v>
      </c>
      <c r="Z49" s="486" t="s">
        <v>2204</v>
      </c>
      <c r="AA49" s="487"/>
      <c r="AB49" s="487"/>
      <c r="AC49" s="488"/>
      <c r="AD49" s="488"/>
    </row>
    <row r="50" spans="1:30" x14ac:dyDescent="0.2">
      <c r="A50" s="240">
        <v>32</v>
      </c>
      <c r="B50" s="231" t="str">
        <f>IF(' HPSheet'!$D92&lt;&gt;"",' HPSheet'!$D92,"")</f>
        <v/>
      </c>
      <c r="C50" s="428"/>
      <c r="D50" s="447"/>
      <c r="E50" s="447"/>
      <c r="F50" s="459" t="str">
        <f>IF(' HPSheet'!$H92&lt;&gt;"",' HPSheet'!$H92,"")</f>
        <v/>
      </c>
      <c r="G50" s="191"/>
      <c r="H50" s="1198" t="s">
        <v>3022</v>
      </c>
      <c r="I50" s="1199"/>
      <c r="J50" s="1203"/>
      <c r="K50" s="1203"/>
      <c r="L50" s="1204" t="s">
        <v>3023</v>
      </c>
      <c r="M50" s="238"/>
      <c r="O50" s="231" t="str">
        <f>IF(' HPSheet'!D104&lt;&gt;"",' HPSheet'!D104,"")</f>
        <v/>
      </c>
      <c r="P50" s="456">
        <f>IF(' HPSheet'!H104&lt;&gt;"",' HPSheet'!H104,0)</f>
        <v>0</v>
      </c>
      <c r="Q50" s="492"/>
      <c r="R50" s="502">
        <f t="shared" si="12"/>
        <v>0</v>
      </c>
      <c r="S50" s="340">
        <f t="shared" si="13"/>
        <v>0</v>
      </c>
      <c r="T50" s="350">
        <f t="shared" si="14"/>
        <v>0</v>
      </c>
      <c r="U50" s="503">
        <f t="shared" si="15"/>
        <v>0</v>
      </c>
      <c r="V50" s="455">
        <f t="shared" si="16"/>
        <v>0</v>
      </c>
      <c r="W50" s="504">
        <f t="shared" si="17"/>
        <v>0</v>
      </c>
      <c r="Z50" s="486" t="s">
        <v>2205</v>
      </c>
      <c r="AA50" s="487"/>
      <c r="AB50" s="487"/>
      <c r="AC50" s="488"/>
      <c r="AD50" s="488"/>
    </row>
    <row r="51" spans="1:30" ht="13.5" thickBot="1" x14ac:dyDescent="0.25">
      <c r="A51" s="240">
        <v>33</v>
      </c>
      <c r="B51" s="231" t="str">
        <f>IF(' HPSheet'!$D93&lt;&gt;"",' HPSheet'!$D93,"")</f>
        <v/>
      </c>
      <c r="C51" s="428"/>
      <c r="D51" s="447"/>
      <c r="E51" s="447"/>
      <c r="F51" s="459" t="str">
        <f>IF(' HPSheet'!$H93&lt;&gt;"",' HPSheet'!$H93,"")</f>
        <v/>
      </c>
      <c r="G51" s="191"/>
      <c r="H51" s="1205"/>
      <c r="I51" s="1206"/>
      <c r="J51" s="1207"/>
      <c r="K51" s="1207"/>
      <c r="L51" s="1208"/>
      <c r="M51" s="238"/>
      <c r="O51" s="231" t="str">
        <f>IF(' HPSheet'!D105&lt;&gt;"",' HPSheet'!D105,"")</f>
        <v/>
      </c>
      <c r="P51" s="456">
        <f>IF(' HPSheet'!H105&lt;&gt;"",' HPSheet'!H105,0)</f>
        <v>0</v>
      </c>
      <c r="Q51" s="492"/>
      <c r="R51" s="502">
        <f t="shared" si="12"/>
        <v>0</v>
      </c>
      <c r="S51" s="340">
        <f t="shared" si="13"/>
        <v>0</v>
      </c>
      <c r="T51" s="350">
        <f t="shared" si="14"/>
        <v>0</v>
      </c>
      <c r="U51" s="503">
        <f t="shared" si="15"/>
        <v>0</v>
      </c>
      <c r="V51" s="455">
        <f t="shared" si="16"/>
        <v>0</v>
      </c>
      <c r="W51" s="504">
        <f t="shared" si="17"/>
        <v>0</v>
      </c>
      <c r="Z51" s="491"/>
      <c r="AA51" s="489"/>
      <c r="AB51" s="489"/>
      <c r="AC51" s="490"/>
      <c r="AD51" s="490"/>
    </row>
    <row r="52" spans="1:30" ht="13.5" thickBot="1" x14ac:dyDescent="0.25">
      <c r="A52" s="240">
        <v>34</v>
      </c>
      <c r="B52" s="231" t="str">
        <f>IF(' HPSheet'!$D94&lt;&gt;"",' HPSheet'!$D94,"")</f>
        <v/>
      </c>
      <c r="C52" s="428"/>
      <c r="D52" s="447"/>
      <c r="E52" s="447"/>
      <c r="F52" s="459" t="str">
        <f>IF(' HPSheet'!$H94&lt;&gt;"",' HPSheet'!$H94,"")</f>
        <v/>
      </c>
      <c r="G52" s="191"/>
      <c r="H52" s="1205"/>
      <c r="I52" s="1206"/>
      <c r="J52" s="1207"/>
      <c r="K52" s="1207"/>
      <c r="L52" s="1208"/>
      <c r="M52" s="238"/>
      <c r="O52" s="231" t="str">
        <f>IF(' HPSheet'!D106&lt;&gt;"",' HPSheet'!D106,"")</f>
        <v/>
      </c>
      <c r="P52" s="456">
        <f>IF(' HPSheet'!H106&lt;&gt;"",' HPSheet'!H106,0)</f>
        <v>0</v>
      </c>
      <c r="Q52" s="492"/>
      <c r="R52" s="502">
        <f t="shared" si="12"/>
        <v>0</v>
      </c>
      <c r="S52" s="340">
        <f t="shared" si="13"/>
        <v>0</v>
      </c>
      <c r="T52" s="350">
        <f t="shared" si="14"/>
        <v>0</v>
      </c>
      <c r="U52" s="503">
        <f t="shared" si="15"/>
        <v>0</v>
      </c>
      <c r="V52" s="455">
        <f t="shared" si="16"/>
        <v>0</v>
      </c>
      <c r="W52" s="504">
        <f t="shared" si="17"/>
        <v>0</v>
      </c>
      <c r="Z52" s="491" t="s">
        <v>2207</v>
      </c>
      <c r="AA52" s="489"/>
      <c r="AB52" s="489"/>
      <c r="AC52" s="490"/>
      <c r="AD52" s="490"/>
    </row>
    <row r="53" spans="1:30" x14ac:dyDescent="0.2">
      <c r="A53" s="240">
        <v>35</v>
      </c>
      <c r="B53" s="231" t="str">
        <f>IF(' HPSheet'!$D95&lt;&gt;"",' HPSheet'!$D95,"")</f>
        <v/>
      </c>
      <c r="C53" s="428"/>
      <c r="D53" s="428"/>
      <c r="E53" s="447"/>
      <c r="F53" s="459" t="str">
        <f>IF(' HPSheet'!$H95&lt;&gt;"",' HPSheet'!$H95,"")</f>
        <v/>
      </c>
      <c r="G53" s="191"/>
      <c r="H53" s="1205"/>
      <c r="I53" s="1206"/>
      <c r="J53" s="1207"/>
      <c r="K53" s="1207"/>
      <c r="L53" s="1208"/>
      <c r="M53" s="238"/>
      <c r="O53" s="231" t="str">
        <f>IF(' HPSheet'!D107&lt;&gt;"",' HPSheet'!D107,"")</f>
        <v/>
      </c>
      <c r="P53" s="456">
        <f>IF(' HPSheet'!H107&lt;&gt;"",' HPSheet'!H107,0)</f>
        <v>0</v>
      </c>
      <c r="Q53" s="492"/>
      <c r="R53" s="502">
        <f t="shared" si="12"/>
        <v>0</v>
      </c>
      <c r="S53" s="340">
        <f t="shared" si="13"/>
        <v>0</v>
      </c>
      <c r="T53" s="350">
        <f t="shared" si="14"/>
        <v>0</v>
      </c>
      <c r="U53" s="503">
        <f t="shared" si="15"/>
        <v>0</v>
      </c>
      <c r="V53" s="455">
        <f t="shared" si="16"/>
        <v>0</v>
      </c>
      <c r="W53" s="504">
        <f t="shared" si="17"/>
        <v>0</v>
      </c>
    </row>
    <row r="54" spans="1:30" x14ac:dyDescent="0.2">
      <c r="A54" s="240">
        <v>36</v>
      </c>
      <c r="B54" s="231" t="str">
        <f>IF(' HPSheet'!$D96&lt;&gt;"",' HPSheet'!$D96,"")</f>
        <v/>
      </c>
      <c r="C54" s="428"/>
      <c r="D54" s="428"/>
      <c r="E54" s="447"/>
      <c r="F54" s="459" t="str">
        <f>IF(' HPSheet'!$H96&lt;&gt;"",' HPSheet'!$H96,"")</f>
        <v/>
      </c>
      <c r="G54" s="191"/>
      <c r="H54" s="1205"/>
      <c r="I54" s="1206"/>
      <c r="J54" s="1207"/>
      <c r="K54" s="1207"/>
      <c r="L54" s="1208"/>
      <c r="M54" s="238"/>
      <c r="O54" s="464" t="str">
        <f>I19</f>
        <v/>
      </c>
      <c r="P54" s="465">
        <f t="shared" ref="P54:P59" si="18">IF(L19&lt;&gt;"",L19,0)</f>
        <v>0</v>
      </c>
      <c r="Q54" s="492"/>
      <c r="R54" s="502">
        <f t="shared" si="12"/>
        <v>0</v>
      </c>
      <c r="S54" s="340">
        <f t="shared" si="13"/>
        <v>0</v>
      </c>
      <c r="T54" s="350">
        <f t="shared" si="14"/>
        <v>0</v>
      </c>
      <c r="U54" s="503">
        <f t="shared" si="15"/>
        <v>0</v>
      </c>
      <c r="V54" s="455">
        <f t="shared" si="16"/>
        <v>0</v>
      </c>
      <c r="W54" s="504">
        <f t="shared" si="17"/>
        <v>0</v>
      </c>
    </row>
    <row r="55" spans="1:30" x14ac:dyDescent="0.2">
      <c r="A55" s="240">
        <v>37</v>
      </c>
      <c r="B55" s="231" t="str">
        <f>IF(' HPSheet'!$D97&lt;&gt;"",' HPSheet'!$D97,"")</f>
        <v/>
      </c>
      <c r="C55" s="444"/>
      <c r="D55" s="444"/>
      <c r="E55" s="445"/>
      <c r="F55" s="459" t="str">
        <f>IF(' HPSheet'!$H97&lt;&gt;"",' HPSheet'!$H97,"")</f>
        <v/>
      </c>
      <c r="G55" s="191"/>
      <c r="H55" s="1205"/>
      <c r="I55" s="1206"/>
      <c r="J55" s="1207"/>
      <c r="K55" s="1207"/>
      <c r="L55" s="1208"/>
      <c r="M55" s="238"/>
      <c r="O55" s="464" t="str">
        <f t="shared" ref="O55:O59" si="19">I20</f>
        <v/>
      </c>
      <c r="P55" s="465">
        <f t="shared" si="18"/>
        <v>0</v>
      </c>
      <c r="Q55" s="492"/>
      <c r="R55" s="502">
        <f t="shared" si="12"/>
        <v>0</v>
      </c>
      <c r="S55" s="340">
        <f t="shared" si="13"/>
        <v>0</v>
      </c>
      <c r="T55" s="350">
        <f t="shared" si="14"/>
        <v>0</v>
      </c>
      <c r="U55" s="503">
        <f t="shared" si="15"/>
        <v>0</v>
      </c>
      <c r="V55" s="455">
        <f t="shared" si="16"/>
        <v>0</v>
      </c>
      <c r="W55" s="504">
        <f t="shared" si="17"/>
        <v>0</v>
      </c>
    </row>
    <row r="56" spans="1:30" x14ac:dyDescent="0.2">
      <c r="A56" s="240">
        <v>38</v>
      </c>
      <c r="B56" s="231" t="str">
        <f>IF(' HPSheet'!$D98&lt;&gt;"",' HPSheet'!$D98,"")</f>
        <v/>
      </c>
      <c r="C56" s="444"/>
      <c r="D56" s="444"/>
      <c r="E56" s="445"/>
      <c r="F56" s="459" t="str">
        <f>IF(' HPSheet'!$H98&lt;&gt;"",' HPSheet'!$H98,"")</f>
        <v/>
      </c>
      <c r="G56" s="191"/>
      <c r="H56" s="1205"/>
      <c r="I56" s="1206"/>
      <c r="J56" s="1207"/>
      <c r="K56" s="1207"/>
      <c r="L56" s="1208"/>
      <c r="M56" s="238"/>
      <c r="O56" s="464" t="str">
        <f t="shared" si="19"/>
        <v/>
      </c>
      <c r="P56" s="465">
        <f t="shared" si="18"/>
        <v>0</v>
      </c>
      <c r="Q56" s="492"/>
      <c r="R56" s="502">
        <f t="shared" si="12"/>
        <v>0</v>
      </c>
      <c r="S56" s="340">
        <f t="shared" si="13"/>
        <v>0</v>
      </c>
      <c r="T56" s="350">
        <f t="shared" si="14"/>
        <v>0</v>
      </c>
      <c r="U56" s="503">
        <f t="shared" si="15"/>
        <v>0</v>
      </c>
      <c r="V56" s="455">
        <f t="shared" si="16"/>
        <v>0</v>
      </c>
      <c r="W56" s="504">
        <f t="shared" si="17"/>
        <v>0</v>
      </c>
    </row>
    <row r="57" spans="1:30" ht="12.75" customHeight="1" x14ac:dyDescent="0.2">
      <c r="A57" s="240">
        <v>39</v>
      </c>
      <c r="B57" s="231" t="str">
        <f>IF(' HPSheet'!$D99&lt;&gt;"",' HPSheet'!$D99,"")</f>
        <v/>
      </c>
      <c r="C57" s="428"/>
      <c r="D57" s="428"/>
      <c r="E57" s="449"/>
      <c r="F57" s="459" t="str">
        <f>IF(' HPSheet'!$H99&lt;&gt;"",' HPSheet'!$H99,"")</f>
        <v/>
      </c>
      <c r="G57" s="191"/>
      <c r="H57" s="1205"/>
      <c r="I57" s="1206"/>
      <c r="J57" s="1207"/>
      <c r="K57" s="1207"/>
      <c r="L57" s="1208"/>
      <c r="M57" s="238"/>
      <c r="O57" s="464" t="str">
        <f t="shared" si="19"/>
        <v/>
      </c>
      <c r="P57" s="465">
        <f t="shared" si="18"/>
        <v>0</v>
      </c>
      <c r="Q57" s="493"/>
      <c r="R57" s="502">
        <f t="shared" si="12"/>
        <v>0</v>
      </c>
      <c r="S57" s="340">
        <f t="shared" si="13"/>
        <v>0</v>
      </c>
      <c r="T57" s="350">
        <f t="shared" si="14"/>
        <v>0</v>
      </c>
      <c r="U57" s="503">
        <f t="shared" si="15"/>
        <v>0</v>
      </c>
      <c r="V57" s="455">
        <f t="shared" si="16"/>
        <v>0</v>
      </c>
      <c r="W57" s="504">
        <f t="shared" si="17"/>
        <v>0</v>
      </c>
    </row>
    <row r="58" spans="1:30" x14ac:dyDescent="0.2">
      <c r="A58" s="240">
        <v>40</v>
      </c>
      <c r="B58" s="231" t="str">
        <f>IF(' HPSheet'!$D100&lt;&gt;"",' HPSheet'!$D100,"")</f>
        <v/>
      </c>
      <c r="C58" s="428"/>
      <c r="D58" s="428"/>
      <c r="E58" s="449"/>
      <c r="F58" s="459" t="str">
        <f>IF(' HPSheet'!$H100&lt;&gt;"",' HPSheet'!$H100,"")</f>
        <v/>
      </c>
      <c r="G58" s="191"/>
      <c r="H58" s="1205"/>
      <c r="I58" s="1206"/>
      <c r="J58" s="1207"/>
      <c r="K58" s="1207"/>
      <c r="L58" s="1208"/>
      <c r="M58" s="238"/>
      <c r="O58" s="464" t="str">
        <f t="shared" si="19"/>
        <v/>
      </c>
      <c r="P58" s="465">
        <f t="shared" si="18"/>
        <v>0</v>
      </c>
      <c r="Q58" s="493"/>
      <c r="R58" s="502">
        <f t="shared" si="12"/>
        <v>0</v>
      </c>
      <c r="S58" s="340">
        <f t="shared" si="13"/>
        <v>0</v>
      </c>
      <c r="T58" s="350">
        <f t="shared" si="14"/>
        <v>0</v>
      </c>
      <c r="U58" s="503">
        <f t="shared" si="15"/>
        <v>0</v>
      </c>
      <c r="V58" s="455">
        <f t="shared" si="16"/>
        <v>0</v>
      </c>
      <c r="W58" s="504">
        <f t="shared" si="17"/>
        <v>0</v>
      </c>
    </row>
    <row r="59" spans="1:30" x14ac:dyDescent="0.2">
      <c r="A59" s="240">
        <v>41</v>
      </c>
      <c r="B59" s="231" t="str">
        <f>IF(' HPSheet'!$D101&lt;&gt;"",' HPSheet'!$D101,"")</f>
        <v/>
      </c>
      <c r="C59" s="428"/>
      <c r="D59" s="428"/>
      <c r="E59" s="449"/>
      <c r="F59" s="459" t="str">
        <f>IF(' HPSheet'!$H101&lt;&gt;"",' HPSheet'!$H101,"")</f>
        <v/>
      </c>
      <c r="H59" s="1205"/>
      <c r="I59" s="1206"/>
      <c r="J59" s="1207"/>
      <c r="K59" s="1207"/>
      <c r="L59" s="1208"/>
      <c r="M59" s="238"/>
      <c r="N59" s="215"/>
      <c r="O59" s="1077" t="str">
        <f t="shared" si="19"/>
        <v/>
      </c>
      <c r="P59" s="1078">
        <f t="shared" si="18"/>
        <v>0</v>
      </c>
      <c r="Q59" s="1079"/>
      <c r="R59" s="502">
        <f t="shared" si="12"/>
        <v>0</v>
      </c>
      <c r="S59" s="340">
        <f t="shared" si="13"/>
        <v>0</v>
      </c>
      <c r="T59" s="350">
        <f t="shared" si="14"/>
        <v>0</v>
      </c>
      <c r="U59" s="503">
        <f t="shared" si="15"/>
        <v>0</v>
      </c>
      <c r="V59" s="455">
        <f t="shared" si="16"/>
        <v>0</v>
      </c>
      <c r="W59" s="504">
        <f t="shared" si="17"/>
        <v>0</v>
      </c>
    </row>
    <row r="60" spans="1:30" ht="12.75" customHeight="1" x14ac:dyDescent="0.2">
      <c r="A60" s="240">
        <v>42</v>
      </c>
      <c r="B60" s="231" t="str">
        <f>IF(' HPSheet'!$D102&lt;&gt;"",' HPSheet'!$D102,"")</f>
        <v/>
      </c>
      <c r="C60" s="428"/>
      <c r="D60" s="428"/>
      <c r="E60" s="449"/>
      <c r="F60" s="459" t="str">
        <f>IF(' HPSheet'!$H102&lt;&gt;"",' HPSheet'!$H102,"")</f>
        <v/>
      </c>
      <c r="H60" s="1205"/>
      <c r="I60" s="1206"/>
      <c r="J60" s="1207"/>
      <c r="K60" s="1207"/>
      <c r="L60" s="1208"/>
      <c r="M60" s="238"/>
      <c r="N60" s="247"/>
      <c r="O60" s="1077" t="str">
        <f t="shared" ref="O60:O72" si="20">I25</f>
        <v/>
      </c>
      <c r="P60" s="1078">
        <f t="shared" ref="P60:P72" si="21">IF(L25&lt;&gt;"",L25,0)</f>
        <v>0</v>
      </c>
      <c r="Q60" s="1079"/>
      <c r="R60" s="502">
        <f t="shared" ref="R60:R72" si="22">(P60+Q60)*3</f>
        <v>0</v>
      </c>
      <c r="S60" s="340">
        <f t="shared" ref="S60:S72" si="23">(P60+Q60)*2</f>
        <v>0</v>
      </c>
      <c r="T60" s="350">
        <f t="shared" ref="T60:T72" si="24">P60+Q60</f>
        <v>0</v>
      </c>
      <c r="U60" s="503">
        <f t="shared" ref="U60:U72" si="25">INT((P60+Q60)*0.5)</f>
        <v>0</v>
      </c>
      <c r="V60" s="455">
        <f t="shared" ref="V60:V72" si="26">INT((P60+Q60)*0.25)</f>
        <v>0</v>
      </c>
      <c r="W60" s="504">
        <f t="shared" ref="W60:W72" si="27">INT((P60+Q60)*0.1)</f>
        <v>0</v>
      </c>
    </row>
    <row r="61" spans="1:30" x14ac:dyDescent="0.2">
      <c r="A61" s="240">
        <v>43</v>
      </c>
      <c r="B61" s="231" t="str">
        <f>IF(' HPSheet'!$D103&lt;&gt;"",' HPSheet'!$D103,"")</f>
        <v/>
      </c>
      <c r="C61" s="428"/>
      <c r="D61" s="428"/>
      <c r="E61" s="449"/>
      <c r="F61" s="459" t="str">
        <f>IF(' HPSheet'!$H103&lt;&gt;"",' HPSheet'!$H103,"")</f>
        <v/>
      </c>
      <c r="H61" s="1205"/>
      <c r="I61" s="1206"/>
      <c r="J61" s="1207"/>
      <c r="K61" s="1207"/>
      <c r="L61" s="1208"/>
      <c r="M61" s="213"/>
      <c r="N61" s="245"/>
      <c r="O61" s="1077" t="str">
        <f t="shared" si="20"/>
        <v/>
      </c>
      <c r="P61" s="1078">
        <f t="shared" si="21"/>
        <v>0</v>
      </c>
      <c r="Q61" s="1079"/>
      <c r="R61" s="502">
        <f t="shared" si="22"/>
        <v>0</v>
      </c>
      <c r="S61" s="340">
        <f t="shared" si="23"/>
        <v>0</v>
      </c>
      <c r="T61" s="350">
        <f t="shared" si="24"/>
        <v>0</v>
      </c>
      <c r="U61" s="503">
        <f t="shared" si="25"/>
        <v>0</v>
      </c>
      <c r="V61" s="455">
        <f t="shared" si="26"/>
        <v>0</v>
      </c>
      <c r="W61" s="504">
        <f t="shared" si="27"/>
        <v>0</v>
      </c>
    </row>
    <row r="62" spans="1:30" x14ac:dyDescent="0.2">
      <c r="A62" s="240">
        <v>44</v>
      </c>
      <c r="B62" s="231" t="str">
        <f>IF(' HPSheet'!$D104&lt;&gt;"",' HPSheet'!$D104,"")</f>
        <v/>
      </c>
      <c r="C62" s="428"/>
      <c r="D62" s="428"/>
      <c r="E62" s="449"/>
      <c r="F62" s="459" t="str">
        <f>IF(' HPSheet'!$H104&lt;&gt;"",' HPSheet'!$H104,"")</f>
        <v/>
      </c>
      <c r="H62" s="1205"/>
      <c r="I62" s="1206"/>
      <c r="J62" s="1207"/>
      <c r="K62" s="1207"/>
      <c r="L62" s="1208"/>
      <c r="M62" s="213"/>
      <c r="N62" s="245"/>
      <c r="O62" s="1077" t="str">
        <f t="shared" si="20"/>
        <v/>
      </c>
      <c r="P62" s="1078">
        <f t="shared" si="21"/>
        <v>0</v>
      </c>
      <c r="Q62" s="1079"/>
      <c r="R62" s="502">
        <f t="shared" si="22"/>
        <v>0</v>
      </c>
      <c r="S62" s="340">
        <f t="shared" si="23"/>
        <v>0</v>
      </c>
      <c r="T62" s="350">
        <f t="shared" si="24"/>
        <v>0</v>
      </c>
      <c r="U62" s="503">
        <f t="shared" si="25"/>
        <v>0</v>
      </c>
      <c r="V62" s="455">
        <f t="shared" si="26"/>
        <v>0</v>
      </c>
      <c r="W62" s="504">
        <f t="shared" si="27"/>
        <v>0</v>
      </c>
    </row>
    <row r="63" spans="1:30" x14ac:dyDescent="0.2">
      <c r="A63" s="240">
        <v>45</v>
      </c>
      <c r="B63" s="231" t="str">
        <f>IF(' HPSheet'!$D105&lt;&gt;"",' HPSheet'!$D105,"")</f>
        <v/>
      </c>
      <c r="C63" s="428"/>
      <c r="D63" s="428"/>
      <c r="E63" s="449"/>
      <c r="F63" s="459" t="str">
        <f>IF(' HPSheet'!$H105&lt;&gt;"",' HPSheet'!$H105,"")</f>
        <v/>
      </c>
      <c r="H63" s="1205"/>
      <c r="I63" s="1206"/>
      <c r="J63" s="1207"/>
      <c r="K63" s="1207"/>
      <c r="L63" s="1208"/>
      <c r="M63" s="213"/>
      <c r="N63" s="245"/>
      <c r="O63" s="1077" t="str">
        <f t="shared" si="20"/>
        <v/>
      </c>
      <c r="P63" s="1078">
        <f t="shared" si="21"/>
        <v>0</v>
      </c>
      <c r="Q63" s="1079"/>
      <c r="R63" s="502">
        <f t="shared" si="22"/>
        <v>0</v>
      </c>
      <c r="S63" s="340">
        <f t="shared" si="23"/>
        <v>0</v>
      </c>
      <c r="T63" s="350">
        <f t="shared" si="24"/>
        <v>0</v>
      </c>
      <c r="U63" s="503">
        <f t="shared" si="25"/>
        <v>0</v>
      </c>
      <c r="V63" s="455">
        <f t="shared" si="26"/>
        <v>0</v>
      </c>
      <c r="W63" s="504">
        <f t="shared" si="27"/>
        <v>0</v>
      </c>
    </row>
    <row r="64" spans="1:30" x14ac:dyDescent="0.2">
      <c r="A64" s="240">
        <v>46</v>
      </c>
      <c r="B64" s="231" t="str">
        <f>IF(' HPSheet'!$D106&lt;&gt;"",' HPSheet'!$D106,"")</f>
        <v/>
      </c>
      <c r="C64" s="428"/>
      <c r="D64" s="428"/>
      <c r="E64" s="449"/>
      <c r="F64" s="459" t="str">
        <f>IF(' HPSheet'!$H106&lt;&gt;"",' HPSheet'!$H106,"")</f>
        <v/>
      </c>
      <c r="H64" s="1205"/>
      <c r="I64" s="1206"/>
      <c r="J64" s="1207"/>
      <c r="K64" s="1207"/>
      <c r="L64" s="1208"/>
      <c r="M64" s="213"/>
      <c r="N64" s="245"/>
      <c r="O64" s="1077" t="str">
        <f t="shared" si="20"/>
        <v/>
      </c>
      <c r="P64" s="1078">
        <f t="shared" si="21"/>
        <v>0</v>
      </c>
      <c r="Q64" s="1079"/>
      <c r="R64" s="502">
        <f t="shared" si="22"/>
        <v>0</v>
      </c>
      <c r="S64" s="340">
        <f t="shared" si="23"/>
        <v>0</v>
      </c>
      <c r="T64" s="350">
        <f t="shared" si="24"/>
        <v>0</v>
      </c>
      <c r="U64" s="503">
        <f t="shared" si="25"/>
        <v>0</v>
      </c>
      <c r="V64" s="455">
        <f t="shared" si="26"/>
        <v>0</v>
      </c>
      <c r="W64" s="504">
        <f t="shared" si="27"/>
        <v>0</v>
      </c>
    </row>
    <row r="65" spans="1:23" ht="13.5" thickBot="1" x14ac:dyDescent="0.25">
      <c r="A65" s="240">
        <v>47</v>
      </c>
      <c r="B65" s="231" t="str">
        <f>IF(' HPSheet'!$D107&lt;&gt;"",' HPSheet'!$D107,"")</f>
        <v/>
      </c>
      <c r="C65" s="428"/>
      <c r="D65" s="428"/>
      <c r="E65" s="449"/>
      <c r="F65" s="459" t="str">
        <f>IF(' HPSheet'!$H107&lt;&gt;"",' HPSheet'!$H107,"")</f>
        <v/>
      </c>
      <c r="H65" s="1209"/>
      <c r="I65" s="1210"/>
      <c r="J65" s="1211"/>
      <c r="K65" s="1211"/>
      <c r="L65" s="1212"/>
      <c r="M65" s="213"/>
      <c r="N65" s="245"/>
      <c r="O65" s="1077" t="str">
        <f t="shared" si="20"/>
        <v/>
      </c>
      <c r="P65" s="1078">
        <f t="shared" si="21"/>
        <v>0</v>
      </c>
      <c r="Q65" s="1079"/>
      <c r="R65" s="502">
        <f t="shared" si="22"/>
        <v>0</v>
      </c>
      <c r="S65" s="340">
        <f t="shared" si="23"/>
        <v>0</v>
      </c>
      <c r="T65" s="350">
        <f t="shared" si="24"/>
        <v>0</v>
      </c>
      <c r="U65" s="503">
        <f t="shared" si="25"/>
        <v>0</v>
      </c>
      <c r="V65" s="455">
        <f t="shared" si="26"/>
        <v>0</v>
      </c>
      <c r="W65" s="504">
        <f t="shared" si="27"/>
        <v>0</v>
      </c>
    </row>
    <row r="66" spans="1:23" ht="13.5" thickBot="1" x14ac:dyDescent="0.25">
      <c r="F66" s="211"/>
      <c r="H66" s="215"/>
      <c r="I66" s="215"/>
      <c r="J66" s="1213" t="s">
        <v>3024</v>
      </c>
      <c r="K66" s="1213" t="s">
        <v>3024</v>
      </c>
      <c r="L66" s="1214">
        <f>L49-SUM(L51:L65)</f>
        <v>0</v>
      </c>
      <c r="M66" s="213"/>
      <c r="N66" s="245"/>
      <c r="O66" s="1077" t="str">
        <f t="shared" si="20"/>
        <v/>
      </c>
      <c r="P66" s="1078">
        <f t="shared" si="21"/>
        <v>0</v>
      </c>
      <c r="Q66" s="1079"/>
      <c r="R66" s="502">
        <f t="shared" si="22"/>
        <v>0</v>
      </c>
      <c r="S66" s="340">
        <f t="shared" si="23"/>
        <v>0</v>
      </c>
      <c r="T66" s="350">
        <f t="shared" si="24"/>
        <v>0</v>
      </c>
      <c r="U66" s="503">
        <f t="shared" si="25"/>
        <v>0</v>
      </c>
      <c r="V66" s="455">
        <f t="shared" si="26"/>
        <v>0</v>
      </c>
      <c r="W66" s="504">
        <f t="shared" si="27"/>
        <v>0</v>
      </c>
    </row>
    <row r="67" spans="1:23" x14ac:dyDescent="0.2">
      <c r="F67" s="211"/>
      <c r="H67" s="215"/>
      <c r="I67" s="215"/>
      <c r="J67" s="215"/>
      <c r="K67" s="215"/>
      <c r="L67" s="213"/>
      <c r="M67" s="215"/>
      <c r="N67" s="245"/>
      <c r="O67" s="1077" t="str">
        <f t="shared" si="20"/>
        <v/>
      </c>
      <c r="P67" s="1078">
        <f t="shared" si="21"/>
        <v>0</v>
      </c>
      <c r="Q67" s="1079"/>
      <c r="R67" s="502">
        <f t="shared" si="22"/>
        <v>0</v>
      </c>
      <c r="S67" s="340">
        <f t="shared" si="23"/>
        <v>0</v>
      </c>
      <c r="T67" s="350">
        <f t="shared" si="24"/>
        <v>0</v>
      </c>
      <c r="U67" s="503">
        <f t="shared" si="25"/>
        <v>0</v>
      </c>
      <c r="V67" s="455">
        <f t="shared" si="26"/>
        <v>0</v>
      </c>
      <c r="W67" s="504">
        <f t="shared" si="27"/>
        <v>0</v>
      </c>
    </row>
    <row r="68" spans="1:23" x14ac:dyDescent="0.2">
      <c r="F68" s="211"/>
      <c r="H68" s="1216" t="s">
        <v>3029</v>
      </c>
      <c r="I68" s="1215"/>
      <c r="J68" s="1215"/>
      <c r="K68" s="215"/>
      <c r="L68" s="213"/>
      <c r="M68" s="215"/>
      <c r="N68" s="245"/>
      <c r="O68" s="1077" t="str">
        <f t="shared" si="20"/>
        <v/>
      </c>
      <c r="P68" s="1078">
        <f t="shared" si="21"/>
        <v>0</v>
      </c>
      <c r="Q68" s="1079"/>
      <c r="R68" s="502">
        <f t="shared" si="22"/>
        <v>0</v>
      </c>
      <c r="S68" s="340">
        <f t="shared" si="23"/>
        <v>0</v>
      </c>
      <c r="T68" s="350">
        <f t="shared" si="24"/>
        <v>0</v>
      </c>
      <c r="U68" s="503">
        <f t="shared" si="25"/>
        <v>0</v>
      </c>
      <c r="V68" s="455">
        <f t="shared" si="26"/>
        <v>0</v>
      </c>
      <c r="W68" s="504">
        <f t="shared" si="27"/>
        <v>0</v>
      </c>
    </row>
    <row r="69" spans="1:23" x14ac:dyDescent="0.2">
      <c r="F69" s="211"/>
      <c r="H69" s="215"/>
      <c r="I69" s="215"/>
      <c r="J69" s="215"/>
      <c r="K69" s="215"/>
      <c r="L69" s="213"/>
      <c r="M69" s="215"/>
      <c r="O69" s="1077" t="str">
        <f t="shared" si="20"/>
        <v/>
      </c>
      <c r="P69" s="1078">
        <f t="shared" si="21"/>
        <v>0</v>
      </c>
      <c r="Q69" s="1079"/>
      <c r="R69" s="502">
        <f t="shared" si="22"/>
        <v>0</v>
      </c>
      <c r="S69" s="340">
        <f t="shared" si="23"/>
        <v>0</v>
      </c>
      <c r="T69" s="350">
        <f t="shared" si="24"/>
        <v>0</v>
      </c>
      <c r="U69" s="503">
        <f t="shared" si="25"/>
        <v>0</v>
      </c>
      <c r="V69" s="455">
        <f t="shared" si="26"/>
        <v>0</v>
      </c>
      <c r="W69" s="504">
        <f t="shared" si="27"/>
        <v>0</v>
      </c>
    </row>
    <row r="70" spans="1:23" ht="13.5" thickBot="1" x14ac:dyDescent="0.25">
      <c r="F70" s="211"/>
      <c r="L70" s="211"/>
      <c r="O70" s="1077" t="str">
        <f t="shared" si="20"/>
        <v/>
      </c>
      <c r="P70" s="1078">
        <f t="shared" si="21"/>
        <v>0</v>
      </c>
      <c r="Q70" s="1079"/>
      <c r="R70" s="502">
        <f t="shared" si="22"/>
        <v>0</v>
      </c>
      <c r="S70" s="340">
        <f t="shared" si="23"/>
        <v>0</v>
      </c>
      <c r="T70" s="350">
        <f t="shared" si="24"/>
        <v>0</v>
      </c>
      <c r="U70" s="503">
        <f t="shared" si="25"/>
        <v>0</v>
      </c>
      <c r="V70" s="455">
        <f t="shared" si="26"/>
        <v>0</v>
      </c>
      <c r="W70" s="504">
        <f t="shared" si="27"/>
        <v>0</v>
      </c>
    </row>
    <row r="71" spans="1:23" ht="16.5" thickBot="1" x14ac:dyDescent="0.3">
      <c r="F71" s="211"/>
      <c r="H71" s="1486" t="s">
        <v>3320</v>
      </c>
      <c r="I71" s="1487"/>
      <c r="J71" s="1487"/>
      <c r="K71" s="1488"/>
      <c r="L71" s="1489"/>
      <c r="O71" s="1077" t="str">
        <f t="shared" si="20"/>
        <v/>
      </c>
      <c r="P71" s="1078">
        <f t="shared" si="21"/>
        <v>0</v>
      </c>
      <c r="Q71" s="1079"/>
      <c r="R71" s="502">
        <f t="shared" si="22"/>
        <v>0</v>
      </c>
      <c r="S71" s="340">
        <f t="shared" si="23"/>
        <v>0</v>
      </c>
      <c r="T71" s="350">
        <f t="shared" si="24"/>
        <v>0</v>
      </c>
      <c r="U71" s="503">
        <f t="shared" si="25"/>
        <v>0</v>
      </c>
      <c r="V71" s="455">
        <f t="shared" si="26"/>
        <v>0</v>
      </c>
      <c r="W71" s="504">
        <f t="shared" si="27"/>
        <v>0</v>
      </c>
    </row>
    <row r="72" spans="1:23" x14ac:dyDescent="0.2">
      <c r="F72" s="211"/>
      <c r="H72" s="1296" t="s">
        <v>3321</v>
      </c>
      <c r="I72" s="1243"/>
      <c r="J72" s="1243"/>
      <c r="K72" s="1303">
        <v>0.01</v>
      </c>
      <c r="L72" s="1306">
        <f>$L$47 * 0.01</f>
        <v>0</v>
      </c>
      <c r="O72" s="1077" t="str">
        <f t="shared" si="20"/>
        <v/>
      </c>
      <c r="P72" s="1078">
        <f t="shared" si="21"/>
        <v>0</v>
      </c>
      <c r="Q72" s="1079"/>
      <c r="R72" s="502">
        <f t="shared" si="22"/>
        <v>0</v>
      </c>
      <c r="S72" s="340">
        <f t="shared" si="23"/>
        <v>0</v>
      </c>
      <c r="T72" s="350">
        <f t="shared" si="24"/>
        <v>0</v>
      </c>
      <c r="U72" s="503">
        <f t="shared" si="25"/>
        <v>0</v>
      </c>
      <c r="V72" s="455">
        <f t="shared" si="26"/>
        <v>0</v>
      </c>
      <c r="W72" s="504">
        <f t="shared" si="27"/>
        <v>0</v>
      </c>
    </row>
    <row r="73" spans="1:23" x14ac:dyDescent="0.2">
      <c r="F73" s="211"/>
      <c r="H73" s="1298" t="s">
        <v>3322</v>
      </c>
      <c r="K73" s="1304">
        <v>0.01</v>
      </c>
      <c r="L73" s="1299">
        <f t="shared" ref="L73:L78" si="28">$L$47 * 0.01</f>
        <v>0</v>
      </c>
      <c r="O73" s="1077" t="str">
        <f t="shared" ref="O73:O79" si="29">I38</f>
        <v/>
      </c>
      <c r="P73" s="1078">
        <f t="shared" ref="P73:P79" si="30">IF(L38&lt;&gt;"",L38,0)</f>
        <v>0</v>
      </c>
      <c r="Q73" s="1079"/>
      <c r="R73" s="502">
        <f t="shared" ref="R73:R79" si="31">(P73+Q73)*3</f>
        <v>0</v>
      </c>
      <c r="S73" s="340">
        <f t="shared" ref="S73:S79" si="32">(P73+Q73)*2</f>
        <v>0</v>
      </c>
      <c r="T73" s="350">
        <f t="shared" ref="T73:T79" si="33">P73+Q73</f>
        <v>0</v>
      </c>
      <c r="U73" s="503">
        <f t="shared" ref="U73:U79" si="34">INT((P73+Q73)*0.5)</f>
        <v>0</v>
      </c>
      <c r="V73" s="455">
        <f t="shared" ref="V73:V79" si="35">INT((P73+Q73)*0.25)</f>
        <v>0</v>
      </c>
      <c r="W73" s="504">
        <f t="shared" ref="W73:W79" si="36">INT((P73+Q73)*0.1)</f>
        <v>0</v>
      </c>
    </row>
    <row r="74" spans="1:23" x14ac:dyDescent="0.2">
      <c r="F74" s="211"/>
      <c r="H74" s="1296" t="s">
        <v>3323</v>
      </c>
      <c r="I74" s="1243"/>
      <c r="J74" s="1243"/>
      <c r="K74" s="1303">
        <v>0.02</v>
      </c>
      <c r="L74" s="1297">
        <f t="shared" si="28"/>
        <v>0</v>
      </c>
      <c r="O74" s="1077" t="str">
        <f t="shared" si="29"/>
        <v/>
      </c>
      <c r="P74" s="1078">
        <f t="shared" si="30"/>
        <v>0</v>
      </c>
      <c r="Q74" s="1079"/>
      <c r="R74" s="502">
        <f t="shared" si="31"/>
        <v>0</v>
      </c>
      <c r="S74" s="340">
        <f t="shared" si="32"/>
        <v>0</v>
      </c>
      <c r="T74" s="350">
        <f t="shared" si="33"/>
        <v>0</v>
      </c>
      <c r="U74" s="503">
        <f t="shared" si="34"/>
        <v>0</v>
      </c>
      <c r="V74" s="455">
        <f t="shared" si="35"/>
        <v>0</v>
      </c>
      <c r="W74" s="504">
        <f t="shared" si="36"/>
        <v>0</v>
      </c>
    </row>
    <row r="75" spans="1:23" x14ac:dyDescent="0.2">
      <c r="F75" s="211"/>
      <c r="H75" s="1298" t="s">
        <v>3324</v>
      </c>
      <c r="K75" s="1304">
        <v>0.03</v>
      </c>
      <c r="L75" s="1299">
        <f t="shared" si="28"/>
        <v>0</v>
      </c>
      <c r="O75" s="1077" t="str">
        <f t="shared" si="29"/>
        <v/>
      </c>
      <c r="P75" s="1078">
        <f t="shared" si="30"/>
        <v>0</v>
      </c>
      <c r="Q75" s="1079"/>
      <c r="R75" s="502">
        <f t="shared" si="31"/>
        <v>0</v>
      </c>
      <c r="S75" s="340">
        <f t="shared" si="32"/>
        <v>0</v>
      </c>
      <c r="T75" s="350">
        <f t="shared" si="33"/>
        <v>0</v>
      </c>
      <c r="U75" s="503">
        <f t="shared" si="34"/>
        <v>0</v>
      </c>
      <c r="V75" s="455">
        <f t="shared" si="35"/>
        <v>0</v>
      </c>
      <c r="W75" s="504">
        <f t="shared" si="36"/>
        <v>0</v>
      </c>
    </row>
    <row r="76" spans="1:23" x14ac:dyDescent="0.2">
      <c r="F76" s="211"/>
      <c r="H76" s="1296" t="s">
        <v>3325</v>
      </c>
      <c r="I76" s="1243"/>
      <c r="J76" s="1243"/>
      <c r="K76" s="1303">
        <v>0.04</v>
      </c>
      <c r="L76" s="1297">
        <f t="shared" si="28"/>
        <v>0</v>
      </c>
      <c r="O76" s="1077" t="str">
        <f t="shared" si="29"/>
        <v/>
      </c>
      <c r="P76" s="1078">
        <f t="shared" si="30"/>
        <v>0</v>
      </c>
      <c r="Q76" s="1079"/>
      <c r="R76" s="502">
        <f t="shared" si="31"/>
        <v>0</v>
      </c>
      <c r="S76" s="340">
        <f t="shared" si="32"/>
        <v>0</v>
      </c>
      <c r="T76" s="350">
        <f t="shared" si="33"/>
        <v>0</v>
      </c>
      <c r="U76" s="503">
        <f t="shared" si="34"/>
        <v>0</v>
      </c>
      <c r="V76" s="455">
        <f t="shared" si="35"/>
        <v>0</v>
      </c>
      <c r="W76" s="504">
        <f t="shared" si="36"/>
        <v>0</v>
      </c>
    </row>
    <row r="77" spans="1:23" x14ac:dyDescent="0.2">
      <c r="F77" s="211"/>
      <c r="H77" s="1298" t="s">
        <v>3326</v>
      </c>
      <c r="K77" s="1304">
        <v>0.05</v>
      </c>
      <c r="L77" s="1299">
        <f t="shared" si="28"/>
        <v>0</v>
      </c>
      <c r="O77" s="1077" t="str">
        <f t="shared" si="29"/>
        <v/>
      </c>
      <c r="P77" s="1078">
        <f t="shared" si="30"/>
        <v>0</v>
      </c>
      <c r="Q77" s="1079"/>
      <c r="R77" s="502">
        <f t="shared" si="31"/>
        <v>0</v>
      </c>
      <c r="S77" s="340">
        <f t="shared" si="32"/>
        <v>0</v>
      </c>
      <c r="T77" s="350">
        <f t="shared" si="33"/>
        <v>0</v>
      </c>
      <c r="U77" s="503">
        <f t="shared" si="34"/>
        <v>0</v>
      </c>
      <c r="V77" s="455">
        <f t="shared" si="35"/>
        <v>0</v>
      </c>
      <c r="W77" s="504">
        <f t="shared" si="36"/>
        <v>0</v>
      </c>
    </row>
    <row r="78" spans="1:23" ht="13.5" thickBot="1" x14ac:dyDescent="0.25">
      <c r="F78" s="211"/>
      <c r="H78" s="1300" t="s">
        <v>3327</v>
      </c>
      <c r="I78" s="1301"/>
      <c r="J78" s="1301"/>
      <c r="K78" s="1305">
        <v>0.06</v>
      </c>
      <c r="L78" s="1302">
        <f t="shared" si="28"/>
        <v>0</v>
      </c>
      <c r="O78" s="1077" t="str">
        <f t="shared" si="29"/>
        <v/>
      </c>
      <c r="P78" s="1078">
        <f t="shared" si="30"/>
        <v>0</v>
      </c>
      <c r="Q78" s="1079"/>
      <c r="R78" s="502">
        <f t="shared" si="31"/>
        <v>0</v>
      </c>
      <c r="S78" s="340">
        <f t="shared" si="32"/>
        <v>0</v>
      </c>
      <c r="T78" s="350">
        <f t="shared" si="33"/>
        <v>0</v>
      </c>
      <c r="U78" s="503">
        <f t="shared" si="34"/>
        <v>0</v>
      </c>
      <c r="V78" s="455">
        <f t="shared" si="35"/>
        <v>0</v>
      </c>
      <c r="W78" s="504">
        <f t="shared" si="36"/>
        <v>0</v>
      </c>
    </row>
    <row r="79" spans="1:23" ht="13.5" thickBot="1" x14ac:dyDescent="0.25">
      <c r="F79" s="211"/>
      <c r="L79" s="211"/>
      <c r="O79" s="1077" t="str">
        <f t="shared" si="29"/>
        <v/>
      </c>
      <c r="P79" s="1078">
        <f t="shared" si="30"/>
        <v>0</v>
      </c>
      <c r="Q79" s="1079"/>
      <c r="R79" s="502">
        <f t="shared" si="31"/>
        <v>0</v>
      </c>
      <c r="S79" s="340">
        <f t="shared" si="32"/>
        <v>0</v>
      </c>
      <c r="T79" s="350">
        <f t="shared" si="33"/>
        <v>0</v>
      </c>
      <c r="U79" s="503">
        <f t="shared" si="34"/>
        <v>0</v>
      </c>
      <c r="V79" s="455">
        <f t="shared" si="35"/>
        <v>0</v>
      </c>
      <c r="W79" s="504">
        <f t="shared" si="36"/>
        <v>0</v>
      </c>
    </row>
    <row r="80" spans="1:23" x14ac:dyDescent="0.2">
      <c r="F80" s="211"/>
      <c r="H80" s="1490" t="s">
        <v>3328</v>
      </c>
      <c r="I80" s="1490"/>
      <c r="J80" s="1490"/>
      <c r="K80" s="1491"/>
      <c r="L80" s="1491"/>
      <c r="O80" s="1492" t="s">
        <v>3041</v>
      </c>
      <c r="P80" s="1493"/>
      <c r="Q80" s="1493"/>
      <c r="R80" s="1493"/>
      <c r="S80" s="1493"/>
      <c r="T80" s="1493"/>
      <c r="U80" s="1493"/>
      <c r="V80" s="1493"/>
      <c r="W80" s="1494"/>
    </row>
    <row r="81" spans="8:23" ht="13.5" thickBot="1" x14ac:dyDescent="0.25">
      <c r="H81" s="1490"/>
      <c r="I81" s="1490"/>
      <c r="J81" s="1490"/>
      <c r="K81" s="1491"/>
      <c r="L81" s="1491"/>
      <c r="O81" s="1495"/>
      <c r="P81" s="1496"/>
      <c r="Q81" s="1496"/>
      <c r="R81" s="1496"/>
      <c r="S81" s="1496"/>
      <c r="T81" s="1496"/>
      <c r="U81" s="1496"/>
      <c r="V81" s="1496"/>
      <c r="W81" s="1497"/>
    </row>
    <row r="82" spans="8:23" ht="12.75" customHeight="1" x14ac:dyDescent="0.2"/>
    <row r="91" spans="8:23" x14ac:dyDescent="0.2">
      <c r="P91" s="211"/>
      <c r="Q91" s="211"/>
      <c r="R91" s="211"/>
      <c r="S91" s="211"/>
      <c r="T91" s="211"/>
      <c r="U91" s="211"/>
      <c r="V91" s="211"/>
      <c r="W91" s="211"/>
    </row>
    <row r="92" spans="8:23" x14ac:dyDescent="0.2">
      <c r="P92" s="211"/>
      <c r="Q92" s="211"/>
      <c r="R92" s="211"/>
      <c r="S92" s="211"/>
      <c r="T92" s="211"/>
      <c r="U92" s="211"/>
      <c r="V92" s="211"/>
      <c r="W92" s="211"/>
    </row>
    <row r="93" spans="8:23" x14ac:dyDescent="0.2">
      <c r="P93" s="211"/>
      <c r="Q93" s="211"/>
      <c r="R93" s="211"/>
      <c r="S93" s="211"/>
      <c r="T93" s="211"/>
      <c r="U93" s="211"/>
      <c r="V93" s="211"/>
      <c r="W93" s="211"/>
    </row>
  </sheetData>
  <mergeCells count="20">
    <mergeCell ref="Z14:AI19"/>
    <mergeCell ref="AA39:AC39"/>
    <mergeCell ref="AA40:AC40"/>
    <mergeCell ref="AA41:AC41"/>
    <mergeCell ref="AA42:AC42"/>
    <mergeCell ref="AD36:AF36"/>
    <mergeCell ref="AD37:AF37"/>
    <mergeCell ref="AD38:AF38"/>
    <mergeCell ref="AD39:AF39"/>
    <mergeCell ref="AD40:AF40"/>
    <mergeCell ref="AD41:AF41"/>
    <mergeCell ref="AD42:AF42"/>
    <mergeCell ref="AA36:AC36"/>
    <mergeCell ref="AA37:AC37"/>
    <mergeCell ref="AA38:AC38"/>
    <mergeCell ref="H71:L71"/>
    <mergeCell ref="H80:L81"/>
    <mergeCell ref="O80:W81"/>
    <mergeCell ref="AA43:AC43"/>
    <mergeCell ref="AD43:AF43"/>
  </mergeCells>
  <phoneticPr fontId="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E09-E56A-4AAA-995E-98DA8612F41A}">
  <sheetPr>
    <tabColor rgb="FFD4FF4B"/>
  </sheetPr>
  <dimension ref="B1:EY119"/>
  <sheetViews>
    <sheetView topLeftCell="A3" zoomScaleNormal="100" workbookViewId="0">
      <selection activeCell="G3" sqref="G3:K3"/>
    </sheetView>
  </sheetViews>
  <sheetFormatPr defaultColWidth="2.125" defaultRowHeight="11.25" x14ac:dyDescent="0.2"/>
  <cols>
    <col min="1" max="1" width="0.75" style="1092" customWidth="1"/>
    <col min="2" max="38" width="2.125" style="1092"/>
    <col min="39" max="40" width="0.75" style="1092" customWidth="1"/>
    <col min="41" max="77" width="2.125" style="1092"/>
    <col min="78" max="79" width="0.75" style="1092" customWidth="1"/>
    <col min="80" max="116" width="2.125" style="1092"/>
    <col min="117" max="118" width="0.75" style="1092" customWidth="1"/>
    <col min="119" max="155" width="2.125" style="1092"/>
    <col min="156" max="156" width="0.75" style="1092" customWidth="1"/>
    <col min="157" max="256" width="2.125" style="1092"/>
    <col min="257" max="257" width="0.75" style="1092" customWidth="1"/>
    <col min="258" max="294" width="2.125" style="1092"/>
    <col min="295" max="296" width="0.75" style="1092" customWidth="1"/>
    <col min="297" max="333" width="2.125" style="1092"/>
    <col min="334" max="335" width="0.75" style="1092" customWidth="1"/>
    <col min="336" max="372" width="2.125" style="1092"/>
    <col min="373" max="374" width="0.75" style="1092" customWidth="1"/>
    <col min="375" max="411" width="2.125" style="1092"/>
    <col min="412" max="412" width="0.75" style="1092" customWidth="1"/>
    <col min="413" max="512" width="2.125" style="1092"/>
    <col min="513" max="513" width="0.75" style="1092" customWidth="1"/>
    <col min="514" max="550" width="2.125" style="1092"/>
    <col min="551" max="552" width="0.75" style="1092" customWidth="1"/>
    <col min="553" max="589" width="2.125" style="1092"/>
    <col min="590" max="591" width="0.75" style="1092" customWidth="1"/>
    <col min="592" max="628" width="2.125" style="1092"/>
    <col min="629" max="630" width="0.75" style="1092" customWidth="1"/>
    <col min="631" max="667" width="2.125" style="1092"/>
    <col min="668" max="668" width="0.75" style="1092" customWidth="1"/>
    <col min="669" max="768" width="2.125" style="1092"/>
    <col min="769" max="769" width="0.75" style="1092" customWidth="1"/>
    <col min="770" max="806" width="2.125" style="1092"/>
    <col min="807" max="808" width="0.75" style="1092" customWidth="1"/>
    <col min="809" max="845" width="2.125" style="1092"/>
    <col min="846" max="847" width="0.75" style="1092" customWidth="1"/>
    <col min="848" max="884" width="2.125" style="1092"/>
    <col min="885" max="886" width="0.75" style="1092" customWidth="1"/>
    <col min="887" max="923" width="2.125" style="1092"/>
    <col min="924" max="924" width="0.75" style="1092" customWidth="1"/>
    <col min="925" max="1024" width="2.125" style="1092"/>
    <col min="1025" max="1025" width="0.75" style="1092" customWidth="1"/>
    <col min="1026" max="1062" width="2.125" style="1092"/>
    <col min="1063" max="1064" width="0.75" style="1092" customWidth="1"/>
    <col min="1065" max="1101" width="2.125" style="1092"/>
    <col min="1102" max="1103" width="0.75" style="1092" customWidth="1"/>
    <col min="1104" max="1140" width="2.125" style="1092"/>
    <col min="1141" max="1142" width="0.75" style="1092" customWidth="1"/>
    <col min="1143" max="1179" width="2.125" style="1092"/>
    <col min="1180" max="1180" width="0.75" style="1092" customWidth="1"/>
    <col min="1181" max="1280" width="2.125" style="1092"/>
    <col min="1281" max="1281" width="0.75" style="1092" customWidth="1"/>
    <col min="1282" max="1318" width="2.125" style="1092"/>
    <col min="1319" max="1320" width="0.75" style="1092" customWidth="1"/>
    <col min="1321" max="1357" width="2.125" style="1092"/>
    <col min="1358" max="1359" width="0.75" style="1092" customWidth="1"/>
    <col min="1360" max="1396" width="2.125" style="1092"/>
    <col min="1397" max="1398" width="0.75" style="1092" customWidth="1"/>
    <col min="1399" max="1435" width="2.125" style="1092"/>
    <col min="1436" max="1436" width="0.75" style="1092" customWidth="1"/>
    <col min="1437" max="1536" width="2.125" style="1092"/>
    <col min="1537" max="1537" width="0.75" style="1092" customWidth="1"/>
    <col min="1538" max="1574" width="2.125" style="1092"/>
    <col min="1575" max="1576" width="0.75" style="1092" customWidth="1"/>
    <col min="1577" max="1613" width="2.125" style="1092"/>
    <col min="1614" max="1615" width="0.75" style="1092" customWidth="1"/>
    <col min="1616" max="1652" width="2.125" style="1092"/>
    <col min="1653" max="1654" width="0.75" style="1092" customWidth="1"/>
    <col min="1655" max="1691" width="2.125" style="1092"/>
    <col min="1692" max="1692" width="0.75" style="1092" customWidth="1"/>
    <col min="1693" max="1792" width="2.125" style="1092"/>
    <col min="1793" max="1793" width="0.75" style="1092" customWidth="1"/>
    <col min="1794" max="1830" width="2.125" style="1092"/>
    <col min="1831" max="1832" width="0.75" style="1092" customWidth="1"/>
    <col min="1833" max="1869" width="2.125" style="1092"/>
    <col min="1870" max="1871" width="0.75" style="1092" customWidth="1"/>
    <col min="1872" max="1908" width="2.125" style="1092"/>
    <col min="1909" max="1910" width="0.75" style="1092" customWidth="1"/>
    <col min="1911" max="1947" width="2.125" style="1092"/>
    <col min="1948" max="1948" width="0.75" style="1092" customWidth="1"/>
    <col min="1949" max="2048" width="2.125" style="1092"/>
    <col min="2049" max="2049" width="0.75" style="1092" customWidth="1"/>
    <col min="2050" max="2086" width="2.125" style="1092"/>
    <col min="2087" max="2088" width="0.75" style="1092" customWidth="1"/>
    <col min="2089" max="2125" width="2.125" style="1092"/>
    <col min="2126" max="2127" width="0.75" style="1092" customWidth="1"/>
    <col min="2128" max="2164" width="2.125" style="1092"/>
    <col min="2165" max="2166" width="0.75" style="1092" customWidth="1"/>
    <col min="2167" max="2203" width="2.125" style="1092"/>
    <col min="2204" max="2204" width="0.75" style="1092" customWidth="1"/>
    <col min="2205" max="2304" width="2.125" style="1092"/>
    <col min="2305" max="2305" width="0.75" style="1092" customWidth="1"/>
    <col min="2306" max="2342" width="2.125" style="1092"/>
    <col min="2343" max="2344" width="0.75" style="1092" customWidth="1"/>
    <col min="2345" max="2381" width="2.125" style="1092"/>
    <col min="2382" max="2383" width="0.75" style="1092" customWidth="1"/>
    <col min="2384" max="2420" width="2.125" style="1092"/>
    <col min="2421" max="2422" width="0.75" style="1092" customWidth="1"/>
    <col min="2423" max="2459" width="2.125" style="1092"/>
    <col min="2460" max="2460" width="0.75" style="1092" customWidth="1"/>
    <col min="2461" max="2560" width="2.125" style="1092"/>
    <col min="2561" max="2561" width="0.75" style="1092" customWidth="1"/>
    <col min="2562" max="2598" width="2.125" style="1092"/>
    <col min="2599" max="2600" width="0.75" style="1092" customWidth="1"/>
    <col min="2601" max="2637" width="2.125" style="1092"/>
    <col min="2638" max="2639" width="0.75" style="1092" customWidth="1"/>
    <col min="2640" max="2676" width="2.125" style="1092"/>
    <col min="2677" max="2678" width="0.75" style="1092" customWidth="1"/>
    <col min="2679" max="2715" width="2.125" style="1092"/>
    <col min="2716" max="2716" width="0.75" style="1092" customWidth="1"/>
    <col min="2717" max="2816" width="2.125" style="1092"/>
    <col min="2817" max="2817" width="0.75" style="1092" customWidth="1"/>
    <col min="2818" max="2854" width="2.125" style="1092"/>
    <col min="2855" max="2856" width="0.75" style="1092" customWidth="1"/>
    <col min="2857" max="2893" width="2.125" style="1092"/>
    <col min="2894" max="2895" width="0.75" style="1092" customWidth="1"/>
    <col min="2896" max="2932" width="2.125" style="1092"/>
    <col min="2933" max="2934" width="0.75" style="1092" customWidth="1"/>
    <col min="2935" max="2971" width="2.125" style="1092"/>
    <col min="2972" max="2972" width="0.75" style="1092" customWidth="1"/>
    <col min="2973" max="3072" width="2.125" style="1092"/>
    <col min="3073" max="3073" width="0.75" style="1092" customWidth="1"/>
    <col min="3074" max="3110" width="2.125" style="1092"/>
    <col min="3111" max="3112" width="0.75" style="1092" customWidth="1"/>
    <col min="3113" max="3149" width="2.125" style="1092"/>
    <col min="3150" max="3151" width="0.75" style="1092" customWidth="1"/>
    <col min="3152" max="3188" width="2.125" style="1092"/>
    <col min="3189" max="3190" width="0.75" style="1092" customWidth="1"/>
    <col min="3191" max="3227" width="2.125" style="1092"/>
    <col min="3228" max="3228" width="0.75" style="1092" customWidth="1"/>
    <col min="3229" max="3328" width="2.125" style="1092"/>
    <col min="3329" max="3329" width="0.75" style="1092" customWidth="1"/>
    <col min="3330" max="3366" width="2.125" style="1092"/>
    <col min="3367" max="3368" width="0.75" style="1092" customWidth="1"/>
    <col min="3369" max="3405" width="2.125" style="1092"/>
    <col min="3406" max="3407" width="0.75" style="1092" customWidth="1"/>
    <col min="3408" max="3444" width="2.125" style="1092"/>
    <col min="3445" max="3446" width="0.75" style="1092" customWidth="1"/>
    <col min="3447" max="3483" width="2.125" style="1092"/>
    <col min="3484" max="3484" width="0.75" style="1092" customWidth="1"/>
    <col min="3485" max="3584" width="2.125" style="1092"/>
    <col min="3585" max="3585" width="0.75" style="1092" customWidth="1"/>
    <col min="3586" max="3622" width="2.125" style="1092"/>
    <col min="3623" max="3624" width="0.75" style="1092" customWidth="1"/>
    <col min="3625" max="3661" width="2.125" style="1092"/>
    <col min="3662" max="3663" width="0.75" style="1092" customWidth="1"/>
    <col min="3664" max="3700" width="2.125" style="1092"/>
    <col min="3701" max="3702" width="0.75" style="1092" customWidth="1"/>
    <col min="3703" max="3739" width="2.125" style="1092"/>
    <col min="3740" max="3740" width="0.75" style="1092" customWidth="1"/>
    <col min="3741" max="3840" width="2.125" style="1092"/>
    <col min="3841" max="3841" width="0.75" style="1092" customWidth="1"/>
    <col min="3842" max="3878" width="2.125" style="1092"/>
    <col min="3879" max="3880" width="0.75" style="1092" customWidth="1"/>
    <col min="3881" max="3917" width="2.125" style="1092"/>
    <col min="3918" max="3919" width="0.75" style="1092" customWidth="1"/>
    <col min="3920" max="3956" width="2.125" style="1092"/>
    <col min="3957" max="3958" width="0.75" style="1092" customWidth="1"/>
    <col min="3959" max="3995" width="2.125" style="1092"/>
    <col min="3996" max="3996" width="0.75" style="1092" customWidth="1"/>
    <col min="3997" max="4096" width="2.125" style="1092"/>
    <col min="4097" max="4097" width="0.75" style="1092" customWidth="1"/>
    <col min="4098" max="4134" width="2.125" style="1092"/>
    <col min="4135" max="4136" width="0.75" style="1092" customWidth="1"/>
    <col min="4137" max="4173" width="2.125" style="1092"/>
    <col min="4174" max="4175" width="0.75" style="1092" customWidth="1"/>
    <col min="4176" max="4212" width="2.125" style="1092"/>
    <col min="4213" max="4214" width="0.75" style="1092" customWidth="1"/>
    <col min="4215" max="4251" width="2.125" style="1092"/>
    <col min="4252" max="4252" width="0.75" style="1092" customWidth="1"/>
    <col min="4253" max="4352" width="2.125" style="1092"/>
    <col min="4353" max="4353" width="0.75" style="1092" customWidth="1"/>
    <col min="4354" max="4390" width="2.125" style="1092"/>
    <col min="4391" max="4392" width="0.75" style="1092" customWidth="1"/>
    <col min="4393" max="4429" width="2.125" style="1092"/>
    <col min="4430" max="4431" width="0.75" style="1092" customWidth="1"/>
    <col min="4432" max="4468" width="2.125" style="1092"/>
    <col min="4469" max="4470" width="0.75" style="1092" customWidth="1"/>
    <col min="4471" max="4507" width="2.125" style="1092"/>
    <col min="4508" max="4508" width="0.75" style="1092" customWidth="1"/>
    <col min="4509" max="4608" width="2.125" style="1092"/>
    <col min="4609" max="4609" width="0.75" style="1092" customWidth="1"/>
    <col min="4610" max="4646" width="2.125" style="1092"/>
    <col min="4647" max="4648" width="0.75" style="1092" customWidth="1"/>
    <col min="4649" max="4685" width="2.125" style="1092"/>
    <col min="4686" max="4687" width="0.75" style="1092" customWidth="1"/>
    <col min="4688" max="4724" width="2.125" style="1092"/>
    <col min="4725" max="4726" width="0.75" style="1092" customWidth="1"/>
    <col min="4727" max="4763" width="2.125" style="1092"/>
    <col min="4764" max="4764" width="0.75" style="1092" customWidth="1"/>
    <col min="4765" max="4864" width="2.125" style="1092"/>
    <col min="4865" max="4865" width="0.75" style="1092" customWidth="1"/>
    <col min="4866" max="4902" width="2.125" style="1092"/>
    <col min="4903" max="4904" width="0.75" style="1092" customWidth="1"/>
    <col min="4905" max="4941" width="2.125" style="1092"/>
    <col min="4942" max="4943" width="0.75" style="1092" customWidth="1"/>
    <col min="4944" max="4980" width="2.125" style="1092"/>
    <col min="4981" max="4982" width="0.75" style="1092" customWidth="1"/>
    <col min="4983" max="5019" width="2.125" style="1092"/>
    <col min="5020" max="5020" width="0.75" style="1092" customWidth="1"/>
    <col min="5021" max="5120" width="2.125" style="1092"/>
    <col min="5121" max="5121" width="0.75" style="1092" customWidth="1"/>
    <col min="5122" max="5158" width="2.125" style="1092"/>
    <col min="5159" max="5160" width="0.75" style="1092" customWidth="1"/>
    <col min="5161" max="5197" width="2.125" style="1092"/>
    <col min="5198" max="5199" width="0.75" style="1092" customWidth="1"/>
    <col min="5200" max="5236" width="2.125" style="1092"/>
    <col min="5237" max="5238" width="0.75" style="1092" customWidth="1"/>
    <col min="5239" max="5275" width="2.125" style="1092"/>
    <col min="5276" max="5276" width="0.75" style="1092" customWidth="1"/>
    <col min="5277" max="5376" width="2.125" style="1092"/>
    <col min="5377" max="5377" width="0.75" style="1092" customWidth="1"/>
    <col min="5378" max="5414" width="2.125" style="1092"/>
    <col min="5415" max="5416" width="0.75" style="1092" customWidth="1"/>
    <col min="5417" max="5453" width="2.125" style="1092"/>
    <col min="5454" max="5455" width="0.75" style="1092" customWidth="1"/>
    <col min="5456" max="5492" width="2.125" style="1092"/>
    <col min="5493" max="5494" width="0.75" style="1092" customWidth="1"/>
    <col min="5495" max="5531" width="2.125" style="1092"/>
    <col min="5532" max="5532" width="0.75" style="1092" customWidth="1"/>
    <col min="5533" max="5632" width="2.125" style="1092"/>
    <col min="5633" max="5633" width="0.75" style="1092" customWidth="1"/>
    <col min="5634" max="5670" width="2.125" style="1092"/>
    <col min="5671" max="5672" width="0.75" style="1092" customWidth="1"/>
    <col min="5673" max="5709" width="2.125" style="1092"/>
    <col min="5710" max="5711" width="0.75" style="1092" customWidth="1"/>
    <col min="5712" max="5748" width="2.125" style="1092"/>
    <col min="5749" max="5750" width="0.75" style="1092" customWidth="1"/>
    <col min="5751" max="5787" width="2.125" style="1092"/>
    <col min="5788" max="5788" width="0.75" style="1092" customWidth="1"/>
    <col min="5789" max="5888" width="2.125" style="1092"/>
    <col min="5889" max="5889" width="0.75" style="1092" customWidth="1"/>
    <col min="5890" max="5926" width="2.125" style="1092"/>
    <col min="5927" max="5928" width="0.75" style="1092" customWidth="1"/>
    <col min="5929" max="5965" width="2.125" style="1092"/>
    <col min="5966" max="5967" width="0.75" style="1092" customWidth="1"/>
    <col min="5968" max="6004" width="2.125" style="1092"/>
    <col min="6005" max="6006" width="0.75" style="1092" customWidth="1"/>
    <col min="6007" max="6043" width="2.125" style="1092"/>
    <col min="6044" max="6044" width="0.75" style="1092" customWidth="1"/>
    <col min="6045" max="6144" width="2.125" style="1092"/>
    <col min="6145" max="6145" width="0.75" style="1092" customWidth="1"/>
    <col min="6146" max="6182" width="2.125" style="1092"/>
    <col min="6183" max="6184" width="0.75" style="1092" customWidth="1"/>
    <col min="6185" max="6221" width="2.125" style="1092"/>
    <col min="6222" max="6223" width="0.75" style="1092" customWidth="1"/>
    <col min="6224" max="6260" width="2.125" style="1092"/>
    <col min="6261" max="6262" width="0.75" style="1092" customWidth="1"/>
    <col min="6263" max="6299" width="2.125" style="1092"/>
    <col min="6300" max="6300" width="0.75" style="1092" customWidth="1"/>
    <col min="6301" max="6400" width="2.125" style="1092"/>
    <col min="6401" max="6401" width="0.75" style="1092" customWidth="1"/>
    <col min="6402" max="6438" width="2.125" style="1092"/>
    <col min="6439" max="6440" width="0.75" style="1092" customWidth="1"/>
    <col min="6441" max="6477" width="2.125" style="1092"/>
    <col min="6478" max="6479" width="0.75" style="1092" customWidth="1"/>
    <col min="6480" max="6516" width="2.125" style="1092"/>
    <col min="6517" max="6518" width="0.75" style="1092" customWidth="1"/>
    <col min="6519" max="6555" width="2.125" style="1092"/>
    <col min="6556" max="6556" width="0.75" style="1092" customWidth="1"/>
    <col min="6557" max="6656" width="2.125" style="1092"/>
    <col min="6657" max="6657" width="0.75" style="1092" customWidth="1"/>
    <col min="6658" max="6694" width="2.125" style="1092"/>
    <col min="6695" max="6696" width="0.75" style="1092" customWidth="1"/>
    <col min="6697" max="6733" width="2.125" style="1092"/>
    <col min="6734" max="6735" width="0.75" style="1092" customWidth="1"/>
    <col min="6736" max="6772" width="2.125" style="1092"/>
    <col min="6773" max="6774" width="0.75" style="1092" customWidth="1"/>
    <col min="6775" max="6811" width="2.125" style="1092"/>
    <col min="6812" max="6812" width="0.75" style="1092" customWidth="1"/>
    <col min="6813" max="6912" width="2.125" style="1092"/>
    <col min="6913" max="6913" width="0.75" style="1092" customWidth="1"/>
    <col min="6914" max="6950" width="2.125" style="1092"/>
    <col min="6951" max="6952" width="0.75" style="1092" customWidth="1"/>
    <col min="6953" max="6989" width="2.125" style="1092"/>
    <col min="6990" max="6991" width="0.75" style="1092" customWidth="1"/>
    <col min="6992" max="7028" width="2.125" style="1092"/>
    <col min="7029" max="7030" width="0.75" style="1092" customWidth="1"/>
    <col min="7031" max="7067" width="2.125" style="1092"/>
    <col min="7068" max="7068" width="0.75" style="1092" customWidth="1"/>
    <col min="7069" max="7168" width="2.125" style="1092"/>
    <col min="7169" max="7169" width="0.75" style="1092" customWidth="1"/>
    <col min="7170" max="7206" width="2.125" style="1092"/>
    <col min="7207" max="7208" width="0.75" style="1092" customWidth="1"/>
    <col min="7209" max="7245" width="2.125" style="1092"/>
    <col min="7246" max="7247" width="0.75" style="1092" customWidth="1"/>
    <col min="7248" max="7284" width="2.125" style="1092"/>
    <col min="7285" max="7286" width="0.75" style="1092" customWidth="1"/>
    <col min="7287" max="7323" width="2.125" style="1092"/>
    <col min="7324" max="7324" width="0.75" style="1092" customWidth="1"/>
    <col min="7325" max="7424" width="2.125" style="1092"/>
    <col min="7425" max="7425" width="0.75" style="1092" customWidth="1"/>
    <col min="7426" max="7462" width="2.125" style="1092"/>
    <col min="7463" max="7464" width="0.75" style="1092" customWidth="1"/>
    <col min="7465" max="7501" width="2.125" style="1092"/>
    <col min="7502" max="7503" width="0.75" style="1092" customWidth="1"/>
    <col min="7504" max="7540" width="2.125" style="1092"/>
    <col min="7541" max="7542" width="0.75" style="1092" customWidth="1"/>
    <col min="7543" max="7579" width="2.125" style="1092"/>
    <col min="7580" max="7580" width="0.75" style="1092" customWidth="1"/>
    <col min="7581" max="7680" width="2.125" style="1092"/>
    <col min="7681" max="7681" width="0.75" style="1092" customWidth="1"/>
    <col min="7682" max="7718" width="2.125" style="1092"/>
    <col min="7719" max="7720" width="0.75" style="1092" customWidth="1"/>
    <col min="7721" max="7757" width="2.125" style="1092"/>
    <col min="7758" max="7759" width="0.75" style="1092" customWidth="1"/>
    <col min="7760" max="7796" width="2.125" style="1092"/>
    <col min="7797" max="7798" width="0.75" style="1092" customWidth="1"/>
    <col min="7799" max="7835" width="2.125" style="1092"/>
    <col min="7836" max="7836" width="0.75" style="1092" customWidth="1"/>
    <col min="7837" max="7936" width="2.125" style="1092"/>
    <col min="7937" max="7937" width="0.75" style="1092" customWidth="1"/>
    <col min="7938" max="7974" width="2.125" style="1092"/>
    <col min="7975" max="7976" width="0.75" style="1092" customWidth="1"/>
    <col min="7977" max="8013" width="2.125" style="1092"/>
    <col min="8014" max="8015" width="0.75" style="1092" customWidth="1"/>
    <col min="8016" max="8052" width="2.125" style="1092"/>
    <col min="8053" max="8054" width="0.75" style="1092" customWidth="1"/>
    <col min="8055" max="8091" width="2.125" style="1092"/>
    <col min="8092" max="8092" width="0.75" style="1092" customWidth="1"/>
    <col min="8093" max="8192" width="2.125" style="1092"/>
    <col min="8193" max="8193" width="0.75" style="1092" customWidth="1"/>
    <col min="8194" max="8230" width="2.125" style="1092"/>
    <col min="8231" max="8232" width="0.75" style="1092" customWidth="1"/>
    <col min="8233" max="8269" width="2.125" style="1092"/>
    <col min="8270" max="8271" width="0.75" style="1092" customWidth="1"/>
    <col min="8272" max="8308" width="2.125" style="1092"/>
    <col min="8309" max="8310" width="0.75" style="1092" customWidth="1"/>
    <col min="8311" max="8347" width="2.125" style="1092"/>
    <col min="8348" max="8348" width="0.75" style="1092" customWidth="1"/>
    <col min="8349" max="8448" width="2.125" style="1092"/>
    <col min="8449" max="8449" width="0.75" style="1092" customWidth="1"/>
    <col min="8450" max="8486" width="2.125" style="1092"/>
    <col min="8487" max="8488" width="0.75" style="1092" customWidth="1"/>
    <col min="8489" max="8525" width="2.125" style="1092"/>
    <col min="8526" max="8527" width="0.75" style="1092" customWidth="1"/>
    <col min="8528" max="8564" width="2.125" style="1092"/>
    <col min="8565" max="8566" width="0.75" style="1092" customWidth="1"/>
    <col min="8567" max="8603" width="2.125" style="1092"/>
    <col min="8604" max="8604" width="0.75" style="1092" customWidth="1"/>
    <col min="8605" max="8704" width="2.125" style="1092"/>
    <col min="8705" max="8705" width="0.75" style="1092" customWidth="1"/>
    <col min="8706" max="8742" width="2.125" style="1092"/>
    <col min="8743" max="8744" width="0.75" style="1092" customWidth="1"/>
    <col min="8745" max="8781" width="2.125" style="1092"/>
    <col min="8782" max="8783" width="0.75" style="1092" customWidth="1"/>
    <col min="8784" max="8820" width="2.125" style="1092"/>
    <col min="8821" max="8822" width="0.75" style="1092" customWidth="1"/>
    <col min="8823" max="8859" width="2.125" style="1092"/>
    <col min="8860" max="8860" width="0.75" style="1092" customWidth="1"/>
    <col min="8861" max="8960" width="2.125" style="1092"/>
    <col min="8961" max="8961" width="0.75" style="1092" customWidth="1"/>
    <col min="8962" max="8998" width="2.125" style="1092"/>
    <col min="8999" max="9000" width="0.75" style="1092" customWidth="1"/>
    <col min="9001" max="9037" width="2.125" style="1092"/>
    <col min="9038" max="9039" width="0.75" style="1092" customWidth="1"/>
    <col min="9040" max="9076" width="2.125" style="1092"/>
    <col min="9077" max="9078" width="0.75" style="1092" customWidth="1"/>
    <col min="9079" max="9115" width="2.125" style="1092"/>
    <col min="9116" max="9116" width="0.75" style="1092" customWidth="1"/>
    <col min="9117" max="9216" width="2.125" style="1092"/>
    <col min="9217" max="9217" width="0.75" style="1092" customWidth="1"/>
    <col min="9218" max="9254" width="2.125" style="1092"/>
    <col min="9255" max="9256" width="0.75" style="1092" customWidth="1"/>
    <col min="9257" max="9293" width="2.125" style="1092"/>
    <col min="9294" max="9295" width="0.75" style="1092" customWidth="1"/>
    <col min="9296" max="9332" width="2.125" style="1092"/>
    <col min="9333" max="9334" width="0.75" style="1092" customWidth="1"/>
    <col min="9335" max="9371" width="2.125" style="1092"/>
    <col min="9372" max="9372" width="0.75" style="1092" customWidth="1"/>
    <col min="9373" max="9472" width="2.125" style="1092"/>
    <col min="9473" max="9473" width="0.75" style="1092" customWidth="1"/>
    <col min="9474" max="9510" width="2.125" style="1092"/>
    <col min="9511" max="9512" width="0.75" style="1092" customWidth="1"/>
    <col min="9513" max="9549" width="2.125" style="1092"/>
    <col min="9550" max="9551" width="0.75" style="1092" customWidth="1"/>
    <col min="9552" max="9588" width="2.125" style="1092"/>
    <col min="9589" max="9590" width="0.75" style="1092" customWidth="1"/>
    <col min="9591" max="9627" width="2.125" style="1092"/>
    <col min="9628" max="9628" width="0.75" style="1092" customWidth="1"/>
    <col min="9629" max="9728" width="2.125" style="1092"/>
    <col min="9729" max="9729" width="0.75" style="1092" customWidth="1"/>
    <col min="9730" max="9766" width="2.125" style="1092"/>
    <col min="9767" max="9768" width="0.75" style="1092" customWidth="1"/>
    <col min="9769" max="9805" width="2.125" style="1092"/>
    <col min="9806" max="9807" width="0.75" style="1092" customWidth="1"/>
    <col min="9808" max="9844" width="2.125" style="1092"/>
    <col min="9845" max="9846" width="0.75" style="1092" customWidth="1"/>
    <col min="9847" max="9883" width="2.125" style="1092"/>
    <col min="9884" max="9884" width="0.75" style="1092" customWidth="1"/>
    <col min="9885" max="9984" width="2.125" style="1092"/>
    <col min="9985" max="9985" width="0.75" style="1092" customWidth="1"/>
    <col min="9986" max="10022" width="2.125" style="1092"/>
    <col min="10023" max="10024" width="0.75" style="1092" customWidth="1"/>
    <col min="10025" max="10061" width="2.125" style="1092"/>
    <col min="10062" max="10063" width="0.75" style="1092" customWidth="1"/>
    <col min="10064" max="10100" width="2.125" style="1092"/>
    <col min="10101" max="10102" width="0.75" style="1092" customWidth="1"/>
    <col min="10103" max="10139" width="2.125" style="1092"/>
    <col min="10140" max="10140" width="0.75" style="1092" customWidth="1"/>
    <col min="10141" max="10240" width="2.125" style="1092"/>
    <col min="10241" max="10241" width="0.75" style="1092" customWidth="1"/>
    <col min="10242" max="10278" width="2.125" style="1092"/>
    <col min="10279" max="10280" width="0.75" style="1092" customWidth="1"/>
    <col min="10281" max="10317" width="2.125" style="1092"/>
    <col min="10318" max="10319" width="0.75" style="1092" customWidth="1"/>
    <col min="10320" max="10356" width="2.125" style="1092"/>
    <col min="10357" max="10358" width="0.75" style="1092" customWidth="1"/>
    <col min="10359" max="10395" width="2.125" style="1092"/>
    <col min="10396" max="10396" width="0.75" style="1092" customWidth="1"/>
    <col min="10397" max="10496" width="2.125" style="1092"/>
    <col min="10497" max="10497" width="0.75" style="1092" customWidth="1"/>
    <col min="10498" max="10534" width="2.125" style="1092"/>
    <col min="10535" max="10536" width="0.75" style="1092" customWidth="1"/>
    <col min="10537" max="10573" width="2.125" style="1092"/>
    <col min="10574" max="10575" width="0.75" style="1092" customWidth="1"/>
    <col min="10576" max="10612" width="2.125" style="1092"/>
    <col min="10613" max="10614" width="0.75" style="1092" customWidth="1"/>
    <col min="10615" max="10651" width="2.125" style="1092"/>
    <col min="10652" max="10652" width="0.75" style="1092" customWidth="1"/>
    <col min="10653" max="10752" width="2.125" style="1092"/>
    <col min="10753" max="10753" width="0.75" style="1092" customWidth="1"/>
    <col min="10754" max="10790" width="2.125" style="1092"/>
    <col min="10791" max="10792" width="0.75" style="1092" customWidth="1"/>
    <col min="10793" max="10829" width="2.125" style="1092"/>
    <col min="10830" max="10831" width="0.75" style="1092" customWidth="1"/>
    <col min="10832" max="10868" width="2.125" style="1092"/>
    <col min="10869" max="10870" width="0.75" style="1092" customWidth="1"/>
    <col min="10871" max="10907" width="2.125" style="1092"/>
    <col min="10908" max="10908" width="0.75" style="1092" customWidth="1"/>
    <col min="10909" max="11008" width="2.125" style="1092"/>
    <col min="11009" max="11009" width="0.75" style="1092" customWidth="1"/>
    <col min="11010" max="11046" width="2.125" style="1092"/>
    <col min="11047" max="11048" width="0.75" style="1092" customWidth="1"/>
    <col min="11049" max="11085" width="2.125" style="1092"/>
    <col min="11086" max="11087" width="0.75" style="1092" customWidth="1"/>
    <col min="11088" max="11124" width="2.125" style="1092"/>
    <col min="11125" max="11126" width="0.75" style="1092" customWidth="1"/>
    <col min="11127" max="11163" width="2.125" style="1092"/>
    <col min="11164" max="11164" width="0.75" style="1092" customWidth="1"/>
    <col min="11165" max="11264" width="2.125" style="1092"/>
    <col min="11265" max="11265" width="0.75" style="1092" customWidth="1"/>
    <col min="11266" max="11302" width="2.125" style="1092"/>
    <col min="11303" max="11304" width="0.75" style="1092" customWidth="1"/>
    <col min="11305" max="11341" width="2.125" style="1092"/>
    <col min="11342" max="11343" width="0.75" style="1092" customWidth="1"/>
    <col min="11344" max="11380" width="2.125" style="1092"/>
    <col min="11381" max="11382" width="0.75" style="1092" customWidth="1"/>
    <col min="11383" max="11419" width="2.125" style="1092"/>
    <col min="11420" max="11420" width="0.75" style="1092" customWidth="1"/>
    <col min="11421" max="11520" width="2.125" style="1092"/>
    <col min="11521" max="11521" width="0.75" style="1092" customWidth="1"/>
    <col min="11522" max="11558" width="2.125" style="1092"/>
    <col min="11559" max="11560" width="0.75" style="1092" customWidth="1"/>
    <col min="11561" max="11597" width="2.125" style="1092"/>
    <col min="11598" max="11599" width="0.75" style="1092" customWidth="1"/>
    <col min="11600" max="11636" width="2.125" style="1092"/>
    <col min="11637" max="11638" width="0.75" style="1092" customWidth="1"/>
    <col min="11639" max="11675" width="2.125" style="1092"/>
    <col min="11676" max="11676" width="0.75" style="1092" customWidth="1"/>
    <col min="11677" max="11776" width="2.125" style="1092"/>
    <col min="11777" max="11777" width="0.75" style="1092" customWidth="1"/>
    <col min="11778" max="11814" width="2.125" style="1092"/>
    <col min="11815" max="11816" width="0.75" style="1092" customWidth="1"/>
    <col min="11817" max="11853" width="2.125" style="1092"/>
    <col min="11854" max="11855" width="0.75" style="1092" customWidth="1"/>
    <col min="11856" max="11892" width="2.125" style="1092"/>
    <col min="11893" max="11894" width="0.75" style="1092" customWidth="1"/>
    <col min="11895" max="11931" width="2.125" style="1092"/>
    <col min="11932" max="11932" width="0.75" style="1092" customWidth="1"/>
    <col min="11933" max="12032" width="2.125" style="1092"/>
    <col min="12033" max="12033" width="0.75" style="1092" customWidth="1"/>
    <col min="12034" max="12070" width="2.125" style="1092"/>
    <col min="12071" max="12072" width="0.75" style="1092" customWidth="1"/>
    <col min="12073" max="12109" width="2.125" style="1092"/>
    <col min="12110" max="12111" width="0.75" style="1092" customWidth="1"/>
    <col min="12112" max="12148" width="2.125" style="1092"/>
    <col min="12149" max="12150" width="0.75" style="1092" customWidth="1"/>
    <col min="12151" max="12187" width="2.125" style="1092"/>
    <col min="12188" max="12188" width="0.75" style="1092" customWidth="1"/>
    <col min="12189" max="12288" width="2.125" style="1092"/>
    <col min="12289" max="12289" width="0.75" style="1092" customWidth="1"/>
    <col min="12290" max="12326" width="2.125" style="1092"/>
    <col min="12327" max="12328" width="0.75" style="1092" customWidth="1"/>
    <col min="12329" max="12365" width="2.125" style="1092"/>
    <col min="12366" max="12367" width="0.75" style="1092" customWidth="1"/>
    <col min="12368" max="12404" width="2.125" style="1092"/>
    <col min="12405" max="12406" width="0.75" style="1092" customWidth="1"/>
    <col min="12407" max="12443" width="2.125" style="1092"/>
    <col min="12444" max="12444" width="0.75" style="1092" customWidth="1"/>
    <col min="12445" max="12544" width="2.125" style="1092"/>
    <col min="12545" max="12545" width="0.75" style="1092" customWidth="1"/>
    <col min="12546" max="12582" width="2.125" style="1092"/>
    <col min="12583" max="12584" width="0.75" style="1092" customWidth="1"/>
    <col min="12585" max="12621" width="2.125" style="1092"/>
    <col min="12622" max="12623" width="0.75" style="1092" customWidth="1"/>
    <col min="12624" max="12660" width="2.125" style="1092"/>
    <col min="12661" max="12662" width="0.75" style="1092" customWidth="1"/>
    <col min="12663" max="12699" width="2.125" style="1092"/>
    <col min="12700" max="12700" width="0.75" style="1092" customWidth="1"/>
    <col min="12701" max="12800" width="2.125" style="1092"/>
    <col min="12801" max="12801" width="0.75" style="1092" customWidth="1"/>
    <col min="12802" max="12838" width="2.125" style="1092"/>
    <col min="12839" max="12840" width="0.75" style="1092" customWidth="1"/>
    <col min="12841" max="12877" width="2.125" style="1092"/>
    <col min="12878" max="12879" width="0.75" style="1092" customWidth="1"/>
    <col min="12880" max="12916" width="2.125" style="1092"/>
    <col min="12917" max="12918" width="0.75" style="1092" customWidth="1"/>
    <col min="12919" max="12955" width="2.125" style="1092"/>
    <col min="12956" max="12956" width="0.75" style="1092" customWidth="1"/>
    <col min="12957" max="13056" width="2.125" style="1092"/>
    <col min="13057" max="13057" width="0.75" style="1092" customWidth="1"/>
    <col min="13058" max="13094" width="2.125" style="1092"/>
    <col min="13095" max="13096" width="0.75" style="1092" customWidth="1"/>
    <col min="13097" max="13133" width="2.125" style="1092"/>
    <col min="13134" max="13135" width="0.75" style="1092" customWidth="1"/>
    <col min="13136" max="13172" width="2.125" style="1092"/>
    <col min="13173" max="13174" width="0.75" style="1092" customWidth="1"/>
    <col min="13175" max="13211" width="2.125" style="1092"/>
    <col min="13212" max="13212" width="0.75" style="1092" customWidth="1"/>
    <col min="13213" max="13312" width="2.125" style="1092"/>
    <col min="13313" max="13313" width="0.75" style="1092" customWidth="1"/>
    <col min="13314" max="13350" width="2.125" style="1092"/>
    <col min="13351" max="13352" width="0.75" style="1092" customWidth="1"/>
    <col min="13353" max="13389" width="2.125" style="1092"/>
    <col min="13390" max="13391" width="0.75" style="1092" customWidth="1"/>
    <col min="13392" max="13428" width="2.125" style="1092"/>
    <col min="13429" max="13430" width="0.75" style="1092" customWidth="1"/>
    <col min="13431" max="13467" width="2.125" style="1092"/>
    <col min="13468" max="13468" width="0.75" style="1092" customWidth="1"/>
    <col min="13469" max="13568" width="2.125" style="1092"/>
    <col min="13569" max="13569" width="0.75" style="1092" customWidth="1"/>
    <col min="13570" max="13606" width="2.125" style="1092"/>
    <col min="13607" max="13608" width="0.75" style="1092" customWidth="1"/>
    <col min="13609" max="13645" width="2.125" style="1092"/>
    <col min="13646" max="13647" width="0.75" style="1092" customWidth="1"/>
    <col min="13648" max="13684" width="2.125" style="1092"/>
    <col min="13685" max="13686" width="0.75" style="1092" customWidth="1"/>
    <col min="13687" max="13723" width="2.125" style="1092"/>
    <col min="13724" max="13724" width="0.75" style="1092" customWidth="1"/>
    <col min="13725" max="13824" width="2.125" style="1092"/>
    <col min="13825" max="13825" width="0.75" style="1092" customWidth="1"/>
    <col min="13826" max="13862" width="2.125" style="1092"/>
    <col min="13863" max="13864" width="0.75" style="1092" customWidth="1"/>
    <col min="13865" max="13901" width="2.125" style="1092"/>
    <col min="13902" max="13903" width="0.75" style="1092" customWidth="1"/>
    <col min="13904" max="13940" width="2.125" style="1092"/>
    <col min="13941" max="13942" width="0.75" style="1092" customWidth="1"/>
    <col min="13943" max="13979" width="2.125" style="1092"/>
    <col min="13980" max="13980" width="0.75" style="1092" customWidth="1"/>
    <col min="13981" max="14080" width="2.125" style="1092"/>
    <col min="14081" max="14081" width="0.75" style="1092" customWidth="1"/>
    <col min="14082" max="14118" width="2.125" style="1092"/>
    <col min="14119" max="14120" width="0.75" style="1092" customWidth="1"/>
    <col min="14121" max="14157" width="2.125" style="1092"/>
    <col min="14158" max="14159" width="0.75" style="1092" customWidth="1"/>
    <col min="14160" max="14196" width="2.125" style="1092"/>
    <col min="14197" max="14198" width="0.75" style="1092" customWidth="1"/>
    <col min="14199" max="14235" width="2.125" style="1092"/>
    <col min="14236" max="14236" width="0.75" style="1092" customWidth="1"/>
    <col min="14237" max="14336" width="2.125" style="1092"/>
    <col min="14337" max="14337" width="0.75" style="1092" customWidth="1"/>
    <col min="14338" max="14374" width="2.125" style="1092"/>
    <col min="14375" max="14376" width="0.75" style="1092" customWidth="1"/>
    <col min="14377" max="14413" width="2.125" style="1092"/>
    <col min="14414" max="14415" width="0.75" style="1092" customWidth="1"/>
    <col min="14416" max="14452" width="2.125" style="1092"/>
    <col min="14453" max="14454" width="0.75" style="1092" customWidth="1"/>
    <col min="14455" max="14491" width="2.125" style="1092"/>
    <col min="14492" max="14492" width="0.75" style="1092" customWidth="1"/>
    <col min="14493" max="14592" width="2.125" style="1092"/>
    <col min="14593" max="14593" width="0.75" style="1092" customWidth="1"/>
    <col min="14594" max="14630" width="2.125" style="1092"/>
    <col min="14631" max="14632" width="0.75" style="1092" customWidth="1"/>
    <col min="14633" max="14669" width="2.125" style="1092"/>
    <col min="14670" max="14671" width="0.75" style="1092" customWidth="1"/>
    <col min="14672" max="14708" width="2.125" style="1092"/>
    <col min="14709" max="14710" width="0.75" style="1092" customWidth="1"/>
    <col min="14711" max="14747" width="2.125" style="1092"/>
    <col min="14748" max="14748" width="0.75" style="1092" customWidth="1"/>
    <col min="14749" max="14848" width="2.125" style="1092"/>
    <col min="14849" max="14849" width="0.75" style="1092" customWidth="1"/>
    <col min="14850" max="14886" width="2.125" style="1092"/>
    <col min="14887" max="14888" width="0.75" style="1092" customWidth="1"/>
    <col min="14889" max="14925" width="2.125" style="1092"/>
    <col min="14926" max="14927" width="0.75" style="1092" customWidth="1"/>
    <col min="14928" max="14964" width="2.125" style="1092"/>
    <col min="14965" max="14966" width="0.75" style="1092" customWidth="1"/>
    <col min="14967" max="15003" width="2.125" style="1092"/>
    <col min="15004" max="15004" width="0.75" style="1092" customWidth="1"/>
    <col min="15005" max="15104" width="2.125" style="1092"/>
    <col min="15105" max="15105" width="0.75" style="1092" customWidth="1"/>
    <col min="15106" max="15142" width="2.125" style="1092"/>
    <col min="15143" max="15144" width="0.75" style="1092" customWidth="1"/>
    <col min="15145" max="15181" width="2.125" style="1092"/>
    <col min="15182" max="15183" width="0.75" style="1092" customWidth="1"/>
    <col min="15184" max="15220" width="2.125" style="1092"/>
    <col min="15221" max="15222" width="0.75" style="1092" customWidth="1"/>
    <col min="15223" max="15259" width="2.125" style="1092"/>
    <col min="15260" max="15260" width="0.75" style="1092" customWidth="1"/>
    <col min="15261" max="15360" width="2.125" style="1092"/>
    <col min="15361" max="15361" width="0.75" style="1092" customWidth="1"/>
    <col min="15362" max="15398" width="2.125" style="1092"/>
    <col min="15399" max="15400" width="0.75" style="1092" customWidth="1"/>
    <col min="15401" max="15437" width="2.125" style="1092"/>
    <col min="15438" max="15439" width="0.75" style="1092" customWidth="1"/>
    <col min="15440" max="15476" width="2.125" style="1092"/>
    <col min="15477" max="15478" width="0.75" style="1092" customWidth="1"/>
    <col min="15479" max="15515" width="2.125" style="1092"/>
    <col min="15516" max="15516" width="0.75" style="1092" customWidth="1"/>
    <col min="15517" max="15616" width="2.125" style="1092"/>
    <col min="15617" max="15617" width="0.75" style="1092" customWidth="1"/>
    <col min="15618" max="15654" width="2.125" style="1092"/>
    <col min="15655" max="15656" width="0.75" style="1092" customWidth="1"/>
    <col min="15657" max="15693" width="2.125" style="1092"/>
    <col min="15694" max="15695" width="0.75" style="1092" customWidth="1"/>
    <col min="15696" max="15732" width="2.125" style="1092"/>
    <col min="15733" max="15734" width="0.75" style="1092" customWidth="1"/>
    <col min="15735" max="15771" width="2.125" style="1092"/>
    <col min="15772" max="15772" width="0.75" style="1092" customWidth="1"/>
    <col min="15773" max="15872" width="2.125" style="1092"/>
    <col min="15873" max="15873" width="0.75" style="1092" customWidth="1"/>
    <col min="15874" max="15910" width="2.125" style="1092"/>
    <col min="15911" max="15912" width="0.75" style="1092" customWidth="1"/>
    <col min="15913" max="15949" width="2.125" style="1092"/>
    <col min="15950" max="15951" width="0.75" style="1092" customWidth="1"/>
    <col min="15952" max="15988" width="2.125" style="1092"/>
    <col min="15989" max="15990" width="0.75" style="1092" customWidth="1"/>
    <col min="15991" max="16027" width="2.125" style="1092"/>
    <col min="16028" max="16028" width="0.75" style="1092" customWidth="1"/>
    <col min="16029" max="16128" width="2.125" style="1092"/>
    <col min="16129" max="16129" width="0.75" style="1092" customWidth="1"/>
    <col min="16130" max="16166" width="2.125" style="1092"/>
    <col min="16167" max="16168" width="0.75" style="1092" customWidth="1"/>
    <col min="16169" max="16205" width="2.125" style="1092"/>
    <col min="16206" max="16207" width="0.75" style="1092" customWidth="1"/>
    <col min="16208" max="16244" width="2.125" style="1092"/>
    <col min="16245" max="16246" width="0.75" style="1092" customWidth="1"/>
    <col min="16247" max="16283" width="2.125" style="1092"/>
    <col min="16284" max="16284" width="0.75" style="1092" customWidth="1"/>
    <col min="16285" max="16384" width="2.125" style="1092"/>
  </cols>
  <sheetData>
    <row r="1" spans="2:155" ht="5.0999999999999996" customHeight="1" thickBot="1" x14ac:dyDescent="0.25"/>
    <row r="2" spans="2:155" ht="20.100000000000001" customHeight="1" x14ac:dyDescent="0.2">
      <c r="B2" s="1093" t="s">
        <v>2</v>
      </c>
      <c r="C2" s="1094"/>
      <c r="D2" s="1095"/>
      <c r="E2" s="1554"/>
      <c r="F2" s="1555"/>
      <c r="G2" s="1555"/>
      <c r="H2" s="1555"/>
      <c r="I2" s="1555"/>
      <c r="J2" s="1555"/>
      <c r="K2" s="1556"/>
      <c r="L2" s="1096" t="s">
        <v>3043</v>
      </c>
      <c r="M2" s="1095"/>
      <c r="N2" s="1095"/>
      <c r="O2" s="1095"/>
      <c r="P2" s="1557"/>
      <c r="Q2" s="1558"/>
      <c r="R2" s="1558"/>
      <c r="S2" s="1558"/>
      <c r="T2" s="1558"/>
      <c r="U2" s="1559"/>
      <c r="V2" s="1096" t="s">
        <v>3044</v>
      </c>
      <c r="W2" s="1095"/>
      <c r="X2" s="1095"/>
      <c r="Y2" s="1095"/>
      <c r="Z2" s="1554"/>
      <c r="AA2" s="1555"/>
      <c r="AB2" s="1555"/>
      <c r="AC2" s="1556"/>
      <c r="AD2" s="1560" t="s">
        <v>3045</v>
      </c>
      <c r="AE2" s="1561"/>
      <c r="AF2" s="1561"/>
      <c r="AG2" s="1561"/>
      <c r="AH2" s="1561"/>
      <c r="AI2" s="1561"/>
      <c r="AJ2" s="1561"/>
      <c r="AK2" s="1561"/>
      <c r="AL2" s="1562"/>
      <c r="AO2" s="1093" t="s">
        <v>2</v>
      </c>
      <c r="AP2" s="1095"/>
      <c r="AQ2" s="1095"/>
      <c r="AR2" s="1554"/>
      <c r="AS2" s="1555"/>
      <c r="AT2" s="1555"/>
      <c r="AU2" s="1555"/>
      <c r="AV2" s="1555"/>
      <c r="AW2" s="1555"/>
      <c r="AX2" s="1556"/>
      <c r="AY2" s="1096" t="s">
        <v>3043</v>
      </c>
      <c r="AZ2" s="1095"/>
      <c r="BA2" s="1095"/>
      <c r="BB2" s="1095"/>
      <c r="BC2" s="1557"/>
      <c r="BD2" s="1558"/>
      <c r="BE2" s="1558"/>
      <c r="BF2" s="1558"/>
      <c r="BG2" s="1558"/>
      <c r="BH2" s="1559"/>
      <c r="BI2" s="1096" t="s">
        <v>3044</v>
      </c>
      <c r="BJ2" s="1095"/>
      <c r="BK2" s="1095"/>
      <c r="BL2" s="1095"/>
      <c r="BM2" s="1554"/>
      <c r="BN2" s="1555"/>
      <c r="BO2" s="1555"/>
      <c r="BP2" s="1556"/>
      <c r="BQ2" s="1560" t="s">
        <v>3045</v>
      </c>
      <c r="BR2" s="1561"/>
      <c r="BS2" s="1561"/>
      <c r="BT2" s="1561"/>
      <c r="BU2" s="1561"/>
      <c r="BV2" s="1561"/>
      <c r="BW2" s="1561"/>
      <c r="BX2" s="1561"/>
      <c r="BY2" s="1562"/>
      <c r="CB2" s="1093" t="s">
        <v>2</v>
      </c>
      <c r="CC2" s="1095"/>
      <c r="CD2" s="1095"/>
      <c r="CE2" s="1554"/>
      <c r="CF2" s="1555"/>
      <c r="CG2" s="1555"/>
      <c r="CH2" s="1555"/>
      <c r="CI2" s="1555"/>
      <c r="CJ2" s="1555"/>
      <c r="CK2" s="1556"/>
      <c r="CL2" s="1096" t="s">
        <v>3043</v>
      </c>
      <c r="CM2" s="1095"/>
      <c r="CN2" s="1095"/>
      <c r="CO2" s="1095"/>
      <c r="CP2" s="1557"/>
      <c r="CQ2" s="1558"/>
      <c r="CR2" s="1558"/>
      <c r="CS2" s="1558"/>
      <c r="CT2" s="1558"/>
      <c r="CU2" s="1559"/>
      <c r="CV2" s="1096" t="s">
        <v>3044</v>
      </c>
      <c r="CW2" s="1095"/>
      <c r="CX2" s="1095"/>
      <c r="CY2" s="1095"/>
      <c r="CZ2" s="1554"/>
      <c r="DA2" s="1555"/>
      <c r="DB2" s="1555"/>
      <c r="DC2" s="1556"/>
      <c r="DD2" s="1560" t="s">
        <v>3045</v>
      </c>
      <c r="DE2" s="1561"/>
      <c r="DF2" s="1561"/>
      <c r="DG2" s="1561"/>
      <c r="DH2" s="1561"/>
      <c r="DI2" s="1561"/>
      <c r="DJ2" s="1561"/>
      <c r="DK2" s="1561"/>
      <c r="DL2" s="1562"/>
      <c r="DO2" s="1093" t="s">
        <v>2</v>
      </c>
      <c r="DP2" s="1095"/>
      <c r="DQ2" s="1095"/>
      <c r="DR2" s="1554"/>
      <c r="DS2" s="1555"/>
      <c r="DT2" s="1555"/>
      <c r="DU2" s="1555"/>
      <c r="DV2" s="1555"/>
      <c r="DW2" s="1555"/>
      <c r="DX2" s="1556"/>
      <c r="DY2" s="1096" t="s">
        <v>3043</v>
      </c>
      <c r="DZ2" s="1095"/>
      <c r="EA2" s="1095"/>
      <c r="EB2" s="1095"/>
      <c r="EC2" s="1557"/>
      <c r="ED2" s="1558"/>
      <c r="EE2" s="1558"/>
      <c r="EF2" s="1558"/>
      <c r="EG2" s="1558"/>
      <c r="EH2" s="1559"/>
      <c r="EI2" s="1096" t="s">
        <v>3044</v>
      </c>
      <c r="EJ2" s="1095"/>
      <c r="EK2" s="1095"/>
      <c r="EL2" s="1095"/>
      <c r="EM2" s="1554"/>
      <c r="EN2" s="1555"/>
      <c r="EO2" s="1555"/>
      <c r="EP2" s="1556"/>
      <c r="EQ2" s="1560" t="s">
        <v>3045</v>
      </c>
      <c r="ER2" s="1561"/>
      <c r="ES2" s="1561"/>
      <c r="ET2" s="1561"/>
      <c r="EU2" s="1561"/>
      <c r="EV2" s="1561"/>
      <c r="EW2" s="1561"/>
      <c r="EX2" s="1561"/>
      <c r="EY2" s="1562"/>
    </row>
    <row r="3" spans="2:155" ht="20.100000000000001" customHeight="1" x14ac:dyDescent="0.2">
      <c r="B3" s="1097" t="s">
        <v>3046</v>
      </c>
      <c r="C3" s="1098"/>
      <c r="D3" s="1098"/>
      <c r="E3" s="1098"/>
      <c r="F3" s="1098"/>
      <c r="G3" s="1545"/>
      <c r="H3" s="1546"/>
      <c r="I3" s="1546"/>
      <c r="J3" s="1546"/>
      <c r="K3" s="1547"/>
      <c r="L3" s="1100" t="s">
        <v>3047</v>
      </c>
      <c r="M3" s="1098"/>
      <c r="N3" s="1098"/>
      <c r="O3" s="1098"/>
      <c r="P3" s="1545"/>
      <c r="Q3" s="1546"/>
      <c r="R3" s="1546"/>
      <c r="S3" s="1546"/>
      <c r="T3" s="1546"/>
      <c r="U3" s="1547"/>
      <c r="V3" s="1100" t="s">
        <v>3048</v>
      </c>
      <c r="W3" s="1098"/>
      <c r="X3" s="1098"/>
      <c r="Y3" s="1098"/>
      <c r="Z3" s="1551"/>
      <c r="AA3" s="1552"/>
      <c r="AB3" s="1552"/>
      <c r="AC3" s="1553"/>
      <c r="AD3" s="1548" t="s">
        <v>3049</v>
      </c>
      <c r="AE3" s="1549"/>
      <c r="AF3" s="1549"/>
      <c r="AG3" s="1549"/>
      <c r="AH3" s="1549"/>
      <c r="AI3" s="1549"/>
      <c r="AJ3" s="1549"/>
      <c r="AK3" s="1549"/>
      <c r="AL3" s="1550"/>
      <c r="AO3" s="1097" t="s">
        <v>3046</v>
      </c>
      <c r="AP3" s="1098"/>
      <c r="AQ3" s="1098"/>
      <c r="AR3" s="1098"/>
      <c r="AS3" s="1098"/>
      <c r="AT3" s="1545"/>
      <c r="AU3" s="1546"/>
      <c r="AV3" s="1546"/>
      <c r="AW3" s="1546"/>
      <c r="AX3" s="1547"/>
      <c r="AY3" s="1100" t="s">
        <v>3047</v>
      </c>
      <c r="AZ3" s="1098"/>
      <c r="BA3" s="1098"/>
      <c r="BB3" s="1098"/>
      <c r="BC3" s="1545"/>
      <c r="BD3" s="1546"/>
      <c r="BE3" s="1546"/>
      <c r="BF3" s="1546"/>
      <c r="BG3" s="1546"/>
      <c r="BH3" s="1547"/>
      <c r="BI3" s="1100" t="s">
        <v>3048</v>
      </c>
      <c r="BJ3" s="1098"/>
      <c r="BK3" s="1098"/>
      <c r="BL3" s="1098"/>
      <c r="BM3" s="1551"/>
      <c r="BN3" s="1552"/>
      <c r="BO3" s="1552"/>
      <c r="BP3" s="1553"/>
      <c r="BQ3" s="1548" t="s">
        <v>3049</v>
      </c>
      <c r="BR3" s="1549"/>
      <c r="BS3" s="1549"/>
      <c r="BT3" s="1549"/>
      <c r="BU3" s="1549"/>
      <c r="BV3" s="1549"/>
      <c r="BW3" s="1549"/>
      <c r="BX3" s="1549"/>
      <c r="BY3" s="1550"/>
      <c r="CB3" s="1097" t="s">
        <v>3046</v>
      </c>
      <c r="CC3" s="1098"/>
      <c r="CD3" s="1098"/>
      <c r="CE3" s="1098"/>
      <c r="CF3" s="1098"/>
      <c r="CG3" s="1545"/>
      <c r="CH3" s="1546"/>
      <c r="CI3" s="1546"/>
      <c r="CJ3" s="1546"/>
      <c r="CK3" s="1547"/>
      <c r="CL3" s="1100" t="s">
        <v>3047</v>
      </c>
      <c r="CM3" s="1098"/>
      <c r="CN3" s="1098"/>
      <c r="CO3" s="1098"/>
      <c r="CP3" s="1545"/>
      <c r="CQ3" s="1546"/>
      <c r="CR3" s="1546"/>
      <c r="CS3" s="1546"/>
      <c r="CT3" s="1546"/>
      <c r="CU3" s="1547"/>
      <c r="CV3" s="1100" t="s">
        <v>3048</v>
      </c>
      <c r="CW3" s="1098"/>
      <c r="CX3" s="1098"/>
      <c r="CY3" s="1098"/>
      <c r="CZ3" s="1551"/>
      <c r="DA3" s="1552"/>
      <c r="DB3" s="1552"/>
      <c r="DC3" s="1553"/>
      <c r="DD3" s="1548" t="s">
        <v>3049</v>
      </c>
      <c r="DE3" s="1549"/>
      <c r="DF3" s="1549"/>
      <c r="DG3" s="1549"/>
      <c r="DH3" s="1549"/>
      <c r="DI3" s="1549"/>
      <c r="DJ3" s="1549"/>
      <c r="DK3" s="1549"/>
      <c r="DL3" s="1550"/>
      <c r="DO3" s="1097" t="s">
        <v>3046</v>
      </c>
      <c r="DP3" s="1098"/>
      <c r="DQ3" s="1098"/>
      <c r="DR3" s="1098"/>
      <c r="DS3" s="1098"/>
      <c r="DT3" s="1545"/>
      <c r="DU3" s="1546"/>
      <c r="DV3" s="1546"/>
      <c r="DW3" s="1546"/>
      <c r="DX3" s="1547"/>
      <c r="DY3" s="1100" t="s">
        <v>3047</v>
      </c>
      <c r="DZ3" s="1098"/>
      <c r="EA3" s="1098"/>
      <c r="EB3" s="1098"/>
      <c r="EC3" s="1545"/>
      <c r="ED3" s="1546"/>
      <c r="EE3" s="1546"/>
      <c r="EF3" s="1546"/>
      <c r="EG3" s="1546"/>
      <c r="EH3" s="1547"/>
      <c r="EI3" s="1100" t="s">
        <v>3048</v>
      </c>
      <c r="EJ3" s="1098"/>
      <c r="EK3" s="1098"/>
      <c r="EL3" s="1098"/>
      <c r="EM3" s="1551"/>
      <c r="EN3" s="1552"/>
      <c r="EO3" s="1552"/>
      <c r="EP3" s="1553"/>
      <c r="EQ3" s="1548" t="s">
        <v>3049</v>
      </c>
      <c r="ER3" s="1549"/>
      <c r="ES3" s="1549"/>
      <c r="ET3" s="1549"/>
      <c r="EU3" s="1549"/>
      <c r="EV3" s="1549"/>
      <c r="EW3" s="1549"/>
      <c r="EX3" s="1549"/>
      <c r="EY3" s="1550"/>
    </row>
    <row r="4" spans="2:155" ht="20.100000000000001" customHeight="1" x14ac:dyDescent="0.2">
      <c r="B4" s="1097" t="s">
        <v>5</v>
      </c>
      <c r="C4" s="1098"/>
      <c r="D4" s="1098"/>
      <c r="E4" s="1545"/>
      <c r="F4" s="1546"/>
      <c r="G4" s="1546"/>
      <c r="H4" s="1546"/>
      <c r="I4" s="1546"/>
      <c r="J4" s="1546"/>
      <c r="K4" s="1547"/>
      <c r="L4" s="1102" t="s">
        <v>3050</v>
      </c>
      <c r="M4" s="1103"/>
      <c r="N4" s="1103"/>
      <c r="O4" s="1103"/>
      <c r="P4" s="1103"/>
      <c r="Q4" s="1103"/>
      <c r="R4" s="1103"/>
      <c r="S4" s="1103"/>
      <c r="T4" s="1103"/>
      <c r="U4" s="1103"/>
      <c r="V4" s="1103"/>
      <c r="W4" s="1103"/>
      <c r="X4" s="1103"/>
      <c r="Y4" s="1103"/>
      <c r="Z4" s="1103"/>
      <c r="AA4" s="1103"/>
      <c r="AB4" s="1103"/>
      <c r="AC4" s="1103"/>
      <c r="AD4" s="1102" t="s">
        <v>3051</v>
      </c>
      <c r="AE4" s="1103"/>
      <c r="AF4" s="1103"/>
      <c r="AG4" s="1103"/>
      <c r="AH4" s="1103"/>
      <c r="AI4" s="1103"/>
      <c r="AJ4" s="1103"/>
      <c r="AK4" s="1103"/>
      <c r="AL4" s="1104"/>
      <c r="AO4" s="1097" t="s">
        <v>5</v>
      </c>
      <c r="AP4" s="1098"/>
      <c r="AQ4" s="1098"/>
      <c r="AR4" s="1545"/>
      <c r="AS4" s="1546"/>
      <c r="AT4" s="1546"/>
      <c r="AU4" s="1546"/>
      <c r="AV4" s="1546"/>
      <c r="AW4" s="1546"/>
      <c r="AX4" s="1547"/>
      <c r="AY4" s="1102" t="s">
        <v>3050</v>
      </c>
      <c r="AZ4" s="1103"/>
      <c r="BA4" s="1103"/>
      <c r="BB4" s="1103"/>
      <c r="BC4" s="1103"/>
      <c r="BD4" s="1103"/>
      <c r="BE4" s="1103"/>
      <c r="BF4" s="1103"/>
      <c r="BG4" s="1103"/>
      <c r="BH4" s="1103"/>
      <c r="BI4" s="1103"/>
      <c r="BJ4" s="1103"/>
      <c r="BK4" s="1103"/>
      <c r="BL4" s="1103"/>
      <c r="BM4" s="1103"/>
      <c r="BN4" s="1103"/>
      <c r="BO4" s="1103"/>
      <c r="BP4" s="1103"/>
      <c r="BQ4" s="1102" t="s">
        <v>3051</v>
      </c>
      <c r="BR4" s="1103"/>
      <c r="BS4" s="1103"/>
      <c r="BT4" s="1103"/>
      <c r="BU4" s="1103"/>
      <c r="BV4" s="1103"/>
      <c r="BW4" s="1103"/>
      <c r="BX4" s="1103"/>
      <c r="BY4" s="1104"/>
      <c r="CB4" s="1097" t="s">
        <v>5</v>
      </c>
      <c r="CC4" s="1098"/>
      <c r="CD4" s="1098"/>
      <c r="CE4" s="1545"/>
      <c r="CF4" s="1546"/>
      <c r="CG4" s="1546"/>
      <c r="CH4" s="1546"/>
      <c r="CI4" s="1546"/>
      <c r="CJ4" s="1546"/>
      <c r="CK4" s="1547"/>
      <c r="CL4" s="1102" t="s">
        <v>3050</v>
      </c>
      <c r="CM4" s="1103"/>
      <c r="CN4" s="1103"/>
      <c r="CO4" s="1103"/>
      <c r="CP4" s="1103"/>
      <c r="CQ4" s="1103"/>
      <c r="CR4" s="1103"/>
      <c r="CS4" s="1103"/>
      <c r="CT4" s="1103"/>
      <c r="CU4" s="1103"/>
      <c r="CV4" s="1103"/>
      <c r="CW4" s="1103"/>
      <c r="CX4" s="1103"/>
      <c r="CY4" s="1103"/>
      <c r="CZ4" s="1103"/>
      <c r="DA4" s="1103"/>
      <c r="DB4" s="1103"/>
      <c r="DC4" s="1103"/>
      <c r="DD4" s="1102" t="s">
        <v>3051</v>
      </c>
      <c r="DE4" s="1103"/>
      <c r="DF4" s="1103"/>
      <c r="DG4" s="1103"/>
      <c r="DH4" s="1103"/>
      <c r="DI4" s="1103"/>
      <c r="DJ4" s="1103"/>
      <c r="DK4" s="1103"/>
      <c r="DL4" s="1104"/>
      <c r="DO4" s="1097" t="s">
        <v>5</v>
      </c>
      <c r="DP4" s="1098"/>
      <c r="DQ4" s="1098"/>
      <c r="DR4" s="1545"/>
      <c r="DS4" s="1546"/>
      <c r="DT4" s="1546"/>
      <c r="DU4" s="1546"/>
      <c r="DV4" s="1546"/>
      <c r="DW4" s="1546"/>
      <c r="DX4" s="1547"/>
      <c r="DY4" s="1102" t="s">
        <v>3050</v>
      </c>
      <c r="DZ4" s="1103"/>
      <c r="EA4" s="1103"/>
      <c r="EB4" s="1103"/>
      <c r="EC4" s="1103"/>
      <c r="ED4" s="1103"/>
      <c r="EE4" s="1103"/>
      <c r="EF4" s="1103"/>
      <c r="EG4" s="1103"/>
      <c r="EH4" s="1103"/>
      <c r="EI4" s="1103"/>
      <c r="EJ4" s="1103"/>
      <c r="EK4" s="1103"/>
      <c r="EL4" s="1103"/>
      <c r="EM4" s="1103"/>
      <c r="EN4" s="1103"/>
      <c r="EO4" s="1103"/>
      <c r="EP4" s="1103"/>
      <c r="EQ4" s="1102" t="s">
        <v>3051</v>
      </c>
      <c r="ER4" s="1103"/>
      <c r="ES4" s="1103"/>
      <c r="ET4" s="1103"/>
      <c r="EU4" s="1103"/>
      <c r="EV4" s="1103"/>
      <c r="EW4" s="1103"/>
      <c r="EX4" s="1103"/>
      <c r="EY4" s="1104"/>
    </row>
    <row r="5" spans="2:155" ht="20.100000000000001" customHeight="1" x14ac:dyDescent="0.2">
      <c r="B5" s="1097" t="s">
        <v>3052</v>
      </c>
      <c r="C5" s="1098"/>
      <c r="D5" s="1098"/>
      <c r="E5" s="1098"/>
      <c r="F5" s="1098"/>
      <c r="G5" s="1098"/>
      <c r="H5" s="1098"/>
      <c r="I5" s="1545"/>
      <c r="J5" s="1546"/>
      <c r="K5" s="1547"/>
      <c r="L5" s="1105"/>
      <c r="M5" s="1106"/>
      <c r="N5" s="1106"/>
      <c r="O5" s="1106"/>
      <c r="P5" s="1106"/>
      <c r="Q5" s="1106"/>
      <c r="R5" s="1106"/>
      <c r="S5" s="1106"/>
      <c r="T5" s="1106"/>
      <c r="U5" s="1106"/>
      <c r="V5" s="1106"/>
      <c r="W5" s="1106"/>
      <c r="X5" s="1106"/>
      <c r="Y5" s="1106"/>
      <c r="Z5" s="1106"/>
      <c r="AA5" s="1106"/>
      <c r="AB5" s="1106"/>
      <c r="AC5" s="1106"/>
      <c r="AD5" s="1105"/>
      <c r="AE5" s="1106"/>
      <c r="AF5" s="1106"/>
      <c r="AG5" s="1106"/>
      <c r="AH5" s="1106"/>
      <c r="AI5" s="1106"/>
      <c r="AJ5" s="1106"/>
      <c r="AK5" s="1106"/>
      <c r="AL5" s="1107"/>
      <c r="AO5" s="1097" t="s">
        <v>3052</v>
      </c>
      <c r="AP5" s="1098"/>
      <c r="AQ5" s="1098"/>
      <c r="AR5" s="1098"/>
      <c r="AS5" s="1098"/>
      <c r="AT5" s="1098"/>
      <c r="AU5" s="1098"/>
      <c r="AV5" s="1545"/>
      <c r="AW5" s="1546"/>
      <c r="AX5" s="1547"/>
      <c r="AY5" s="1105"/>
      <c r="AZ5" s="1106"/>
      <c r="BA5" s="1106"/>
      <c r="BB5" s="1106"/>
      <c r="BC5" s="1106"/>
      <c r="BD5" s="1106"/>
      <c r="BE5" s="1106"/>
      <c r="BF5" s="1106"/>
      <c r="BG5" s="1106"/>
      <c r="BH5" s="1106"/>
      <c r="BI5" s="1106"/>
      <c r="BJ5" s="1106"/>
      <c r="BK5" s="1106"/>
      <c r="BL5" s="1106"/>
      <c r="BM5" s="1106"/>
      <c r="BN5" s="1106"/>
      <c r="BO5" s="1106"/>
      <c r="BP5" s="1106"/>
      <c r="BQ5" s="1105"/>
      <c r="BR5" s="1106"/>
      <c r="BS5" s="1106"/>
      <c r="BT5" s="1106"/>
      <c r="BU5" s="1106"/>
      <c r="BV5" s="1106"/>
      <c r="BW5" s="1106"/>
      <c r="BX5" s="1106"/>
      <c r="BY5" s="1107"/>
      <c r="CB5" s="1097" t="s">
        <v>3052</v>
      </c>
      <c r="CC5" s="1098"/>
      <c r="CD5" s="1098"/>
      <c r="CE5" s="1098"/>
      <c r="CF5" s="1098"/>
      <c r="CG5" s="1098"/>
      <c r="CH5" s="1098"/>
      <c r="CI5" s="1545"/>
      <c r="CJ5" s="1546"/>
      <c r="CK5" s="1547"/>
      <c r="CL5" s="1105"/>
      <c r="CM5" s="1106"/>
      <c r="CN5" s="1106"/>
      <c r="CO5" s="1106"/>
      <c r="CP5" s="1106"/>
      <c r="CQ5" s="1106"/>
      <c r="CR5" s="1106"/>
      <c r="CS5" s="1106"/>
      <c r="CT5" s="1106"/>
      <c r="CU5" s="1106"/>
      <c r="CV5" s="1106"/>
      <c r="CW5" s="1106"/>
      <c r="CX5" s="1106"/>
      <c r="CY5" s="1106"/>
      <c r="CZ5" s="1106"/>
      <c r="DA5" s="1106"/>
      <c r="DB5" s="1106"/>
      <c r="DC5" s="1106"/>
      <c r="DD5" s="1105"/>
      <c r="DE5" s="1106"/>
      <c r="DF5" s="1106"/>
      <c r="DG5" s="1106"/>
      <c r="DH5" s="1106"/>
      <c r="DI5" s="1106"/>
      <c r="DJ5" s="1106"/>
      <c r="DK5" s="1106"/>
      <c r="DL5" s="1107"/>
      <c r="DO5" s="1097" t="s">
        <v>3052</v>
      </c>
      <c r="DP5" s="1098"/>
      <c r="DQ5" s="1098"/>
      <c r="DR5" s="1098"/>
      <c r="DS5" s="1098"/>
      <c r="DT5" s="1098"/>
      <c r="DU5" s="1098"/>
      <c r="DV5" s="1545"/>
      <c r="DW5" s="1546"/>
      <c r="DX5" s="1547"/>
      <c r="DY5" s="1105"/>
      <c r="DZ5" s="1106"/>
      <c r="EA5" s="1106"/>
      <c r="EB5" s="1106"/>
      <c r="EC5" s="1106"/>
      <c r="ED5" s="1106"/>
      <c r="EE5" s="1106"/>
      <c r="EF5" s="1106"/>
      <c r="EG5" s="1106"/>
      <c r="EH5" s="1106"/>
      <c r="EI5" s="1106"/>
      <c r="EJ5" s="1106"/>
      <c r="EK5" s="1106"/>
      <c r="EL5" s="1106"/>
      <c r="EM5" s="1106"/>
      <c r="EN5" s="1106"/>
      <c r="EO5" s="1106"/>
      <c r="EP5" s="1106"/>
      <c r="EQ5" s="1105"/>
      <c r="ER5" s="1106"/>
      <c r="ES5" s="1106"/>
      <c r="ET5" s="1106"/>
      <c r="EU5" s="1106"/>
      <c r="EV5" s="1106"/>
      <c r="EW5" s="1106"/>
      <c r="EX5" s="1106"/>
      <c r="EY5" s="1107"/>
    </row>
    <row r="6" spans="2:155" ht="20.100000000000001" customHeight="1" x14ac:dyDescent="0.2">
      <c r="B6" s="1108" t="s">
        <v>3053</v>
      </c>
      <c r="C6" s="1099"/>
      <c r="D6" s="1101"/>
      <c r="E6" s="1109" t="s">
        <v>3054</v>
      </c>
      <c r="F6" s="1101"/>
      <c r="G6" s="1101"/>
      <c r="H6" s="1101" t="s">
        <v>3055</v>
      </c>
      <c r="I6" s="1101"/>
      <c r="J6" s="1101"/>
      <c r="K6" s="1101"/>
      <c r="L6" s="1101"/>
      <c r="M6" s="1101"/>
      <c r="N6" s="1101"/>
      <c r="O6" s="1101"/>
      <c r="P6" s="1101"/>
      <c r="Q6" s="1101"/>
      <c r="R6" s="1101"/>
      <c r="S6" s="1101"/>
      <c r="T6" s="1101"/>
      <c r="U6" s="1101"/>
      <c r="V6" s="1101" t="s">
        <v>3056</v>
      </c>
      <c r="W6" s="1101"/>
      <c r="X6" s="1101"/>
      <c r="Y6" s="1101"/>
      <c r="Z6" s="1101"/>
      <c r="AA6" s="1101"/>
      <c r="AB6" s="1101"/>
      <c r="AC6" s="1101"/>
      <c r="AD6" s="1101"/>
      <c r="AE6" s="1101"/>
      <c r="AF6" s="1101"/>
      <c r="AG6" s="1101" t="s">
        <v>3057</v>
      </c>
      <c r="AH6" s="1101"/>
      <c r="AI6" s="1101"/>
      <c r="AJ6" s="1101"/>
      <c r="AK6" s="1101"/>
      <c r="AL6" s="1110"/>
      <c r="AO6" s="1108" t="s">
        <v>3053</v>
      </c>
      <c r="AP6" s="1099"/>
      <c r="AQ6" s="1101"/>
      <c r="AR6" s="1109" t="s">
        <v>3054</v>
      </c>
      <c r="AS6" s="1101"/>
      <c r="AT6" s="1101"/>
      <c r="AU6" s="1101" t="s">
        <v>3055</v>
      </c>
      <c r="AV6" s="1101"/>
      <c r="AW6" s="1101"/>
      <c r="AX6" s="1101"/>
      <c r="AY6" s="1101"/>
      <c r="AZ6" s="1101"/>
      <c r="BA6" s="1101"/>
      <c r="BB6" s="1101"/>
      <c r="BC6" s="1101"/>
      <c r="BD6" s="1101"/>
      <c r="BE6" s="1101"/>
      <c r="BF6" s="1101"/>
      <c r="BG6" s="1101"/>
      <c r="BH6" s="1101"/>
      <c r="BI6" s="1101" t="s">
        <v>3056</v>
      </c>
      <c r="BJ6" s="1101"/>
      <c r="BK6" s="1101"/>
      <c r="BL6" s="1101"/>
      <c r="BM6" s="1101"/>
      <c r="BN6" s="1101"/>
      <c r="BO6" s="1101"/>
      <c r="BP6" s="1101"/>
      <c r="BQ6" s="1101"/>
      <c r="BR6" s="1101"/>
      <c r="BS6" s="1101"/>
      <c r="BT6" s="1101" t="s">
        <v>3057</v>
      </c>
      <c r="BU6" s="1101"/>
      <c r="BV6" s="1101"/>
      <c r="BW6" s="1101"/>
      <c r="BX6" s="1101"/>
      <c r="BY6" s="1110"/>
      <c r="CB6" s="1108" t="s">
        <v>3053</v>
      </c>
      <c r="CC6" s="1099"/>
      <c r="CD6" s="1101"/>
      <c r="CE6" s="1109" t="s">
        <v>3054</v>
      </c>
      <c r="CF6" s="1101"/>
      <c r="CG6" s="1101"/>
      <c r="CH6" s="1101" t="s">
        <v>3055</v>
      </c>
      <c r="CI6" s="1101"/>
      <c r="CJ6" s="1101"/>
      <c r="CK6" s="1101"/>
      <c r="CL6" s="1101"/>
      <c r="CM6" s="1101"/>
      <c r="CN6" s="1101"/>
      <c r="CO6" s="1101"/>
      <c r="CP6" s="1101"/>
      <c r="CQ6" s="1101"/>
      <c r="CR6" s="1101"/>
      <c r="CS6" s="1101"/>
      <c r="CT6" s="1101"/>
      <c r="CU6" s="1101"/>
      <c r="CV6" s="1101" t="s">
        <v>3056</v>
      </c>
      <c r="CW6" s="1101"/>
      <c r="CX6" s="1101"/>
      <c r="CY6" s="1101"/>
      <c r="CZ6" s="1101"/>
      <c r="DA6" s="1101"/>
      <c r="DB6" s="1101"/>
      <c r="DC6" s="1101"/>
      <c r="DD6" s="1101"/>
      <c r="DE6" s="1101"/>
      <c r="DF6" s="1101"/>
      <c r="DG6" s="1101" t="s">
        <v>3057</v>
      </c>
      <c r="DH6" s="1101"/>
      <c r="DI6" s="1101"/>
      <c r="DJ6" s="1101"/>
      <c r="DK6" s="1101"/>
      <c r="DL6" s="1110"/>
      <c r="DO6" s="1108" t="s">
        <v>3053</v>
      </c>
      <c r="DP6" s="1099"/>
      <c r="DQ6" s="1101"/>
      <c r="DR6" s="1109" t="s">
        <v>3054</v>
      </c>
      <c r="DS6" s="1101"/>
      <c r="DT6" s="1101"/>
      <c r="DU6" s="1101" t="s">
        <v>3055</v>
      </c>
      <c r="DV6" s="1101"/>
      <c r="DW6" s="1101"/>
      <c r="DX6" s="1101"/>
      <c r="DY6" s="1101"/>
      <c r="DZ6" s="1101"/>
      <c r="EA6" s="1101"/>
      <c r="EB6" s="1101"/>
      <c r="EC6" s="1101"/>
      <c r="ED6" s="1101"/>
      <c r="EE6" s="1101"/>
      <c r="EF6" s="1101"/>
      <c r="EG6" s="1101"/>
      <c r="EH6" s="1101"/>
      <c r="EI6" s="1101" t="s">
        <v>3056</v>
      </c>
      <c r="EJ6" s="1101"/>
      <c r="EK6" s="1101"/>
      <c r="EL6" s="1101"/>
      <c r="EM6" s="1101"/>
      <c r="EN6" s="1101"/>
      <c r="EO6" s="1101"/>
      <c r="EP6" s="1101"/>
      <c r="EQ6" s="1101"/>
      <c r="ER6" s="1101"/>
      <c r="ES6" s="1101"/>
      <c r="ET6" s="1101" t="s">
        <v>3057</v>
      </c>
      <c r="EU6" s="1101"/>
      <c r="EV6" s="1101"/>
      <c r="EW6" s="1101"/>
      <c r="EX6" s="1101"/>
      <c r="EY6" s="1110"/>
    </row>
    <row r="7" spans="2:155" ht="12" customHeight="1" x14ac:dyDescent="0.2">
      <c r="B7" s="1097"/>
      <c r="C7" s="1098"/>
      <c r="D7" s="1542"/>
      <c r="E7" s="1543"/>
      <c r="F7" s="1543"/>
      <c r="G7" s="1544"/>
      <c r="H7" s="1100"/>
      <c r="I7" s="1098"/>
      <c r="J7" s="1098"/>
      <c r="K7" s="1098"/>
      <c r="L7" s="1098"/>
      <c r="M7" s="1098"/>
      <c r="N7" s="1098"/>
      <c r="O7" s="1098"/>
      <c r="P7" s="1098"/>
      <c r="Q7" s="1098"/>
      <c r="R7" s="1098"/>
      <c r="S7" s="1098"/>
      <c r="T7" s="1098"/>
      <c r="U7" s="1098"/>
      <c r="V7" s="1100"/>
      <c r="W7" s="1098"/>
      <c r="X7" s="1098"/>
      <c r="Y7" s="1098"/>
      <c r="Z7" s="1098"/>
      <c r="AA7" s="1098"/>
      <c r="AB7" s="1098"/>
      <c r="AC7" s="1098"/>
      <c r="AD7" s="1098"/>
      <c r="AE7" s="1098"/>
      <c r="AF7" s="1098"/>
      <c r="AG7" s="1100"/>
      <c r="AH7" s="1098"/>
      <c r="AI7" s="1098"/>
      <c r="AJ7" s="1098"/>
      <c r="AK7" s="1098"/>
      <c r="AL7" s="1111"/>
      <c r="AO7" s="1097"/>
      <c r="AP7" s="1098"/>
      <c r="AQ7" s="1542"/>
      <c r="AR7" s="1543"/>
      <c r="AS7" s="1543"/>
      <c r="AT7" s="1544"/>
      <c r="AU7" s="1100"/>
      <c r="AV7" s="1098"/>
      <c r="AW7" s="1098"/>
      <c r="AX7" s="1098"/>
      <c r="AY7" s="1098"/>
      <c r="AZ7" s="1098"/>
      <c r="BA7" s="1098"/>
      <c r="BB7" s="1098"/>
      <c r="BC7" s="1098"/>
      <c r="BD7" s="1098"/>
      <c r="BE7" s="1098"/>
      <c r="BF7" s="1098"/>
      <c r="BG7" s="1098"/>
      <c r="BH7" s="1098"/>
      <c r="BI7" s="1100"/>
      <c r="BJ7" s="1098"/>
      <c r="BK7" s="1098"/>
      <c r="BL7" s="1098"/>
      <c r="BM7" s="1098"/>
      <c r="BN7" s="1098"/>
      <c r="BO7" s="1098"/>
      <c r="BP7" s="1098"/>
      <c r="BQ7" s="1098"/>
      <c r="BR7" s="1098"/>
      <c r="BS7" s="1098"/>
      <c r="BT7" s="1100"/>
      <c r="BU7" s="1098"/>
      <c r="BV7" s="1098"/>
      <c r="BW7" s="1098"/>
      <c r="BX7" s="1098"/>
      <c r="BY7" s="1111"/>
      <c r="CB7" s="1097"/>
      <c r="CC7" s="1098"/>
      <c r="CD7" s="1542"/>
      <c r="CE7" s="1543"/>
      <c r="CF7" s="1543"/>
      <c r="CG7" s="1544"/>
      <c r="CH7" s="1100"/>
      <c r="CI7" s="1098"/>
      <c r="CJ7" s="1098"/>
      <c r="CK7" s="1098"/>
      <c r="CL7" s="1098"/>
      <c r="CM7" s="1098"/>
      <c r="CN7" s="1098"/>
      <c r="CO7" s="1098"/>
      <c r="CP7" s="1098"/>
      <c r="CQ7" s="1098"/>
      <c r="CR7" s="1098"/>
      <c r="CS7" s="1098"/>
      <c r="CT7" s="1098"/>
      <c r="CU7" s="1098"/>
      <c r="CV7" s="1100"/>
      <c r="CW7" s="1098"/>
      <c r="CX7" s="1098"/>
      <c r="CY7" s="1098"/>
      <c r="CZ7" s="1098"/>
      <c r="DA7" s="1098"/>
      <c r="DB7" s="1098"/>
      <c r="DC7" s="1098"/>
      <c r="DD7" s="1098"/>
      <c r="DE7" s="1098"/>
      <c r="DF7" s="1098"/>
      <c r="DG7" s="1100"/>
      <c r="DH7" s="1098"/>
      <c r="DI7" s="1098"/>
      <c r="DJ7" s="1098"/>
      <c r="DK7" s="1098"/>
      <c r="DL7" s="1111"/>
      <c r="DO7" s="1097"/>
      <c r="DP7" s="1098"/>
      <c r="DQ7" s="1542"/>
      <c r="DR7" s="1543"/>
      <c r="DS7" s="1543"/>
      <c r="DT7" s="1544"/>
      <c r="DU7" s="1100"/>
      <c r="DV7" s="1098"/>
      <c r="DW7" s="1098"/>
      <c r="DX7" s="1098"/>
      <c r="DY7" s="1098"/>
      <c r="DZ7" s="1098"/>
      <c r="EA7" s="1098"/>
      <c r="EB7" s="1098"/>
      <c r="EC7" s="1098"/>
      <c r="ED7" s="1098"/>
      <c r="EE7" s="1098"/>
      <c r="EF7" s="1098"/>
      <c r="EG7" s="1098"/>
      <c r="EH7" s="1098"/>
      <c r="EI7" s="1100"/>
      <c r="EJ7" s="1098"/>
      <c r="EK7" s="1098"/>
      <c r="EL7" s="1098"/>
      <c r="EM7" s="1098"/>
      <c r="EN7" s="1098"/>
      <c r="EO7" s="1098"/>
      <c r="EP7" s="1098"/>
      <c r="EQ7" s="1098"/>
      <c r="ER7" s="1098"/>
      <c r="ES7" s="1098"/>
      <c r="ET7" s="1100"/>
      <c r="EU7" s="1098"/>
      <c r="EV7" s="1098"/>
      <c r="EW7" s="1098"/>
      <c r="EX7" s="1098"/>
      <c r="EY7" s="1111"/>
    </row>
    <row r="8" spans="2:155" ht="12" customHeight="1" x14ac:dyDescent="0.2">
      <c r="B8" s="1112"/>
      <c r="C8" s="1113"/>
      <c r="D8" s="1539"/>
      <c r="E8" s="1540"/>
      <c r="F8" s="1540"/>
      <c r="G8" s="1541"/>
      <c r="H8" s="1114"/>
      <c r="I8" s="1113"/>
      <c r="J8" s="1113"/>
      <c r="K8" s="1113"/>
      <c r="L8" s="1113"/>
      <c r="M8" s="1113"/>
      <c r="N8" s="1113"/>
      <c r="O8" s="1113"/>
      <c r="P8" s="1113"/>
      <c r="Q8" s="1113"/>
      <c r="R8" s="1113"/>
      <c r="S8" s="1113"/>
      <c r="T8" s="1113"/>
      <c r="U8" s="1113"/>
      <c r="V8" s="1114"/>
      <c r="W8" s="1113"/>
      <c r="X8" s="1113"/>
      <c r="Y8" s="1113"/>
      <c r="Z8" s="1113"/>
      <c r="AA8" s="1113"/>
      <c r="AB8" s="1113"/>
      <c r="AC8" s="1113"/>
      <c r="AD8" s="1113"/>
      <c r="AE8" s="1113"/>
      <c r="AF8" s="1113"/>
      <c r="AG8" s="1114"/>
      <c r="AH8" s="1113"/>
      <c r="AI8" s="1113"/>
      <c r="AJ8" s="1113"/>
      <c r="AK8" s="1113"/>
      <c r="AL8" s="1115"/>
      <c r="AO8" s="1112"/>
      <c r="AP8" s="1113"/>
      <c r="AQ8" s="1539"/>
      <c r="AR8" s="1540"/>
      <c r="AS8" s="1540"/>
      <c r="AT8" s="1541"/>
      <c r="AU8" s="1114"/>
      <c r="AV8" s="1113"/>
      <c r="AW8" s="1113"/>
      <c r="AX8" s="1113"/>
      <c r="AY8" s="1113"/>
      <c r="AZ8" s="1113"/>
      <c r="BA8" s="1113"/>
      <c r="BB8" s="1113"/>
      <c r="BC8" s="1113"/>
      <c r="BD8" s="1113"/>
      <c r="BE8" s="1113"/>
      <c r="BF8" s="1113"/>
      <c r="BG8" s="1113"/>
      <c r="BH8" s="1113"/>
      <c r="BI8" s="1114"/>
      <c r="BJ8" s="1113"/>
      <c r="BK8" s="1113"/>
      <c r="BL8" s="1113"/>
      <c r="BM8" s="1113"/>
      <c r="BN8" s="1113"/>
      <c r="BO8" s="1113"/>
      <c r="BP8" s="1113"/>
      <c r="BQ8" s="1113"/>
      <c r="BR8" s="1113"/>
      <c r="BS8" s="1113"/>
      <c r="BT8" s="1114"/>
      <c r="BU8" s="1113"/>
      <c r="BV8" s="1113"/>
      <c r="BW8" s="1113"/>
      <c r="BX8" s="1113"/>
      <c r="BY8" s="1115"/>
      <c r="CB8" s="1112"/>
      <c r="CC8" s="1113"/>
      <c r="CD8" s="1539"/>
      <c r="CE8" s="1540"/>
      <c r="CF8" s="1540"/>
      <c r="CG8" s="1541"/>
      <c r="CH8" s="1114"/>
      <c r="CI8" s="1113"/>
      <c r="CJ8" s="1113"/>
      <c r="CK8" s="1113"/>
      <c r="CL8" s="1113"/>
      <c r="CM8" s="1113"/>
      <c r="CN8" s="1113"/>
      <c r="CO8" s="1113"/>
      <c r="CP8" s="1113"/>
      <c r="CQ8" s="1113"/>
      <c r="CR8" s="1113"/>
      <c r="CS8" s="1113"/>
      <c r="CT8" s="1113"/>
      <c r="CU8" s="1113"/>
      <c r="CV8" s="1114"/>
      <c r="CW8" s="1113"/>
      <c r="CX8" s="1113"/>
      <c r="CY8" s="1113"/>
      <c r="CZ8" s="1113"/>
      <c r="DA8" s="1113"/>
      <c r="DB8" s="1113"/>
      <c r="DC8" s="1113"/>
      <c r="DD8" s="1113"/>
      <c r="DE8" s="1113"/>
      <c r="DF8" s="1113"/>
      <c r="DG8" s="1114"/>
      <c r="DH8" s="1113"/>
      <c r="DI8" s="1113"/>
      <c r="DJ8" s="1113"/>
      <c r="DK8" s="1113"/>
      <c r="DL8" s="1115"/>
      <c r="DO8" s="1112"/>
      <c r="DP8" s="1113"/>
      <c r="DQ8" s="1539"/>
      <c r="DR8" s="1540"/>
      <c r="DS8" s="1540"/>
      <c r="DT8" s="1541"/>
      <c r="DU8" s="1114"/>
      <c r="DV8" s="1113"/>
      <c r="DW8" s="1113"/>
      <c r="DX8" s="1113"/>
      <c r="DY8" s="1113"/>
      <c r="DZ8" s="1113"/>
      <c r="EA8" s="1113"/>
      <c r="EB8" s="1113"/>
      <c r="EC8" s="1113"/>
      <c r="ED8" s="1113"/>
      <c r="EE8" s="1113"/>
      <c r="EF8" s="1113"/>
      <c r="EG8" s="1113"/>
      <c r="EH8" s="1113"/>
      <c r="EI8" s="1114"/>
      <c r="EJ8" s="1113"/>
      <c r="EK8" s="1113"/>
      <c r="EL8" s="1113"/>
      <c r="EM8" s="1113"/>
      <c r="EN8" s="1113"/>
      <c r="EO8" s="1113"/>
      <c r="EP8" s="1113"/>
      <c r="EQ8" s="1113"/>
      <c r="ER8" s="1113"/>
      <c r="ES8" s="1113"/>
      <c r="ET8" s="1114"/>
      <c r="EU8" s="1113"/>
      <c r="EV8" s="1113"/>
      <c r="EW8" s="1113"/>
      <c r="EX8" s="1113"/>
      <c r="EY8" s="1115"/>
    </row>
    <row r="9" spans="2:155" ht="12" customHeight="1" x14ac:dyDescent="0.2">
      <c r="B9" s="1097"/>
      <c r="C9" s="1098"/>
      <c r="D9" s="1542"/>
      <c r="E9" s="1543"/>
      <c r="F9" s="1543"/>
      <c r="G9" s="1544"/>
      <c r="H9" s="1100"/>
      <c r="I9" s="1098"/>
      <c r="J9" s="1098"/>
      <c r="K9" s="1098"/>
      <c r="L9" s="1098"/>
      <c r="M9" s="1098"/>
      <c r="N9" s="1098"/>
      <c r="O9" s="1098"/>
      <c r="P9" s="1098"/>
      <c r="Q9" s="1098"/>
      <c r="R9" s="1098"/>
      <c r="S9" s="1098"/>
      <c r="T9" s="1098"/>
      <c r="U9" s="1098"/>
      <c r="V9" s="1100"/>
      <c r="W9" s="1098"/>
      <c r="X9" s="1098"/>
      <c r="Y9" s="1098"/>
      <c r="Z9" s="1098"/>
      <c r="AA9" s="1098"/>
      <c r="AB9" s="1098"/>
      <c r="AC9" s="1098"/>
      <c r="AD9" s="1098"/>
      <c r="AE9" s="1098"/>
      <c r="AF9" s="1098"/>
      <c r="AG9" s="1100"/>
      <c r="AH9" s="1098"/>
      <c r="AI9" s="1098"/>
      <c r="AJ9" s="1098"/>
      <c r="AK9" s="1098"/>
      <c r="AL9" s="1111"/>
      <c r="AO9" s="1097"/>
      <c r="AP9" s="1098"/>
      <c r="AQ9" s="1542"/>
      <c r="AR9" s="1543"/>
      <c r="AS9" s="1543"/>
      <c r="AT9" s="1544"/>
      <c r="AU9" s="1100"/>
      <c r="AV9" s="1098"/>
      <c r="AW9" s="1098"/>
      <c r="AX9" s="1098"/>
      <c r="AY9" s="1098"/>
      <c r="AZ9" s="1098"/>
      <c r="BA9" s="1098"/>
      <c r="BB9" s="1098"/>
      <c r="BC9" s="1098"/>
      <c r="BD9" s="1098"/>
      <c r="BE9" s="1098"/>
      <c r="BF9" s="1098"/>
      <c r="BG9" s="1098"/>
      <c r="BH9" s="1098"/>
      <c r="BI9" s="1100"/>
      <c r="BJ9" s="1098"/>
      <c r="BK9" s="1098"/>
      <c r="BL9" s="1098"/>
      <c r="BM9" s="1098"/>
      <c r="BN9" s="1098"/>
      <c r="BO9" s="1098"/>
      <c r="BP9" s="1098"/>
      <c r="BQ9" s="1098"/>
      <c r="BR9" s="1098"/>
      <c r="BS9" s="1098"/>
      <c r="BT9" s="1100"/>
      <c r="BU9" s="1098"/>
      <c r="BV9" s="1098"/>
      <c r="BW9" s="1098"/>
      <c r="BX9" s="1098"/>
      <c r="BY9" s="1111"/>
      <c r="CB9" s="1097"/>
      <c r="CC9" s="1098"/>
      <c r="CD9" s="1542"/>
      <c r="CE9" s="1543"/>
      <c r="CF9" s="1543"/>
      <c r="CG9" s="1544"/>
      <c r="CH9" s="1100"/>
      <c r="CI9" s="1098"/>
      <c r="CJ9" s="1098"/>
      <c r="CK9" s="1098"/>
      <c r="CL9" s="1098"/>
      <c r="CM9" s="1098"/>
      <c r="CN9" s="1098"/>
      <c r="CO9" s="1098"/>
      <c r="CP9" s="1098"/>
      <c r="CQ9" s="1098"/>
      <c r="CR9" s="1098"/>
      <c r="CS9" s="1098"/>
      <c r="CT9" s="1098"/>
      <c r="CU9" s="1098"/>
      <c r="CV9" s="1100"/>
      <c r="CW9" s="1098"/>
      <c r="CX9" s="1098"/>
      <c r="CY9" s="1098"/>
      <c r="CZ9" s="1098"/>
      <c r="DA9" s="1098"/>
      <c r="DB9" s="1098"/>
      <c r="DC9" s="1098"/>
      <c r="DD9" s="1098"/>
      <c r="DE9" s="1098"/>
      <c r="DF9" s="1098"/>
      <c r="DG9" s="1100"/>
      <c r="DH9" s="1098"/>
      <c r="DI9" s="1098"/>
      <c r="DJ9" s="1098"/>
      <c r="DK9" s="1098"/>
      <c r="DL9" s="1111"/>
      <c r="DO9" s="1097"/>
      <c r="DP9" s="1098"/>
      <c r="DQ9" s="1542"/>
      <c r="DR9" s="1543"/>
      <c r="DS9" s="1543"/>
      <c r="DT9" s="1544"/>
      <c r="DU9" s="1100"/>
      <c r="DV9" s="1098"/>
      <c r="DW9" s="1098"/>
      <c r="DX9" s="1098"/>
      <c r="DY9" s="1098"/>
      <c r="DZ9" s="1098"/>
      <c r="EA9" s="1098"/>
      <c r="EB9" s="1098"/>
      <c r="EC9" s="1098"/>
      <c r="ED9" s="1098"/>
      <c r="EE9" s="1098"/>
      <c r="EF9" s="1098"/>
      <c r="EG9" s="1098"/>
      <c r="EH9" s="1098"/>
      <c r="EI9" s="1100"/>
      <c r="EJ9" s="1098"/>
      <c r="EK9" s="1098"/>
      <c r="EL9" s="1098"/>
      <c r="EM9" s="1098"/>
      <c r="EN9" s="1098"/>
      <c r="EO9" s="1098"/>
      <c r="EP9" s="1098"/>
      <c r="EQ9" s="1098"/>
      <c r="ER9" s="1098"/>
      <c r="ES9" s="1098"/>
      <c r="ET9" s="1100"/>
      <c r="EU9" s="1098"/>
      <c r="EV9" s="1098"/>
      <c r="EW9" s="1098"/>
      <c r="EX9" s="1098"/>
      <c r="EY9" s="1111"/>
    </row>
    <row r="10" spans="2:155" ht="12" customHeight="1" x14ac:dyDescent="0.2">
      <c r="B10" s="1112"/>
      <c r="C10" s="1113"/>
      <c r="D10" s="1539"/>
      <c r="E10" s="1540"/>
      <c r="F10" s="1540"/>
      <c r="G10" s="1541"/>
      <c r="H10" s="1114"/>
      <c r="I10" s="1113"/>
      <c r="J10" s="1113"/>
      <c r="K10" s="1113"/>
      <c r="L10" s="1113"/>
      <c r="M10" s="1113"/>
      <c r="N10" s="1113"/>
      <c r="O10" s="1113"/>
      <c r="P10" s="1113"/>
      <c r="Q10" s="1113"/>
      <c r="R10" s="1113"/>
      <c r="S10" s="1113"/>
      <c r="T10" s="1113"/>
      <c r="U10" s="1113"/>
      <c r="V10" s="1114"/>
      <c r="W10" s="1113"/>
      <c r="X10" s="1113"/>
      <c r="Y10" s="1113"/>
      <c r="Z10" s="1113"/>
      <c r="AA10" s="1113"/>
      <c r="AB10" s="1113"/>
      <c r="AC10" s="1113"/>
      <c r="AD10" s="1113"/>
      <c r="AE10" s="1113"/>
      <c r="AF10" s="1113"/>
      <c r="AG10" s="1114"/>
      <c r="AH10" s="1113"/>
      <c r="AI10" s="1113"/>
      <c r="AJ10" s="1113"/>
      <c r="AK10" s="1113"/>
      <c r="AL10" s="1115"/>
      <c r="AO10" s="1112"/>
      <c r="AP10" s="1113"/>
      <c r="AQ10" s="1539"/>
      <c r="AR10" s="1540"/>
      <c r="AS10" s="1540"/>
      <c r="AT10" s="1541"/>
      <c r="AU10" s="1114"/>
      <c r="AV10" s="1113"/>
      <c r="AW10" s="1113"/>
      <c r="AX10" s="1113"/>
      <c r="AY10" s="1113"/>
      <c r="AZ10" s="1113"/>
      <c r="BA10" s="1113"/>
      <c r="BB10" s="1113"/>
      <c r="BC10" s="1113"/>
      <c r="BD10" s="1113"/>
      <c r="BE10" s="1113"/>
      <c r="BF10" s="1113"/>
      <c r="BG10" s="1113"/>
      <c r="BH10" s="1113"/>
      <c r="BI10" s="1114"/>
      <c r="BJ10" s="1113"/>
      <c r="BK10" s="1113"/>
      <c r="BL10" s="1113"/>
      <c r="BM10" s="1113"/>
      <c r="BN10" s="1113"/>
      <c r="BO10" s="1113"/>
      <c r="BP10" s="1113"/>
      <c r="BQ10" s="1113"/>
      <c r="BR10" s="1113"/>
      <c r="BS10" s="1113"/>
      <c r="BT10" s="1114"/>
      <c r="BU10" s="1113"/>
      <c r="BV10" s="1113"/>
      <c r="BW10" s="1113"/>
      <c r="BX10" s="1113"/>
      <c r="BY10" s="1115"/>
      <c r="CB10" s="1112"/>
      <c r="CC10" s="1113"/>
      <c r="CD10" s="1539"/>
      <c r="CE10" s="1540"/>
      <c r="CF10" s="1540"/>
      <c r="CG10" s="1541"/>
      <c r="CH10" s="1114"/>
      <c r="CI10" s="1113"/>
      <c r="CJ10" s="1113"/>
      <c r="CK10" s="1113"/>
      <c r="CL10" s="1113"/>
      <c r="CM10" s="1113"/>
      <c r="CN10" s="1113"/>
      <c r="CO10" s="1113"/>
      <c r="CP10" s="1113"/>
      <c r="CQ10" s="1113"/>
      <c r="CR10" s="1113"/>
      <c r="CS10" s="1113"/>
      <c r="CT10" s="1113"/>
      <c r="CU10" s="1113"/>
      <c r="CV10" s="1114"/>
      <c r="CW10" s="1113"/>
      <c r="CX10" s="1113"/>
      <c r="CY10" s="1113"/>
      <c r="CZ10" s="1113"/>
      <c r="DA10" s="1113"/>
      <c r="DB10" s="1113"/>
      <c r="DC10" s="1113"/>
      <c r="DD10" s="1113"/>
      <c r="DE10" s="1113"/>
      <c r="DF10" s="1113"/>
      <c r="DG10" s="1114"/>
      <c r="DH10" s="1113"/>
      <c r="DI10" s="1113"/>
      <c r="DJ10" s="1113"/>
      <c r="DK10" s="1113"/>
      <c r="DL10" s="1115"/>
      <c r="DO10" s="1112"/>
      <c r="DP10" s="1113"/>
      <c r="DQ10" s="1539"/>
      <c r="DR10" s="1540"/>
      <c r="DS10" s="1540"/>
      <c r="DT10" s="1541"/>
      <c r="DU10" s="1114"/>
      <c r="DV10" s="1113"/>
      <c r="DW10" s="1113"/>
      <c r="DX10" s="1113"/>
      <c r="DY10" s="1113"/>
      <c r="DZ10" s="1113"/>
      <c r="EA10" s="1113"/>
      <c r="EB10" s="1113"/>
      <c r="EC10" s="1113"/>
      <c r="ED10" s="1113"/>
      <c r="EE10" s="1113"/>
      <c r="EF10" s="1113"/>
      <c r="EG10" s="1113"/>
      <c r="EH10" s="1113"/>
      <c r="EI10" s="1114"/>
      <c r="EJ10" s="1113"/>
      <c r="EK10" s="1113"/>
      <c r="EL10" s="1113"/>
      <c r="EM10" s="1113"/>
      <c r="EN10" s="1113"/>
      <c r="EO10" s="1113"/>
      <c r="EP10" s="1113"/>
      <c r="EQ10" s="1113"/>
      <c r="ER10" s="1113"/>
      <c r="ES10" s="1113"/>
      <c r="ET10" s="1114"/>
      <c r="EU10" s="1113"/>
      <c r="EV10" s="1113"/>
      <c r="EW10" s="1113"/>
      <c r="EX10" s="1113"/>
      <c r="EY10" s="1115"/>
    </row>
    <row r="11" spans="2:155" ht="12" customHeight="1" x14ac:dyDescent="0.2">
      <c r="B11" s="1097"/>
      <c r="C11" s="1098"/>
      <c r="D11" s="1542"/>
      <c r="E11" s="1543"/>
      <c r="F11" s="1543"/>
      <c r="G11" s="1544"/>
      <c r="H11" s="1100"/>
      <c r="I11" s="1098"/>
      <c r="J11" s="1098"/>
      <c r="K11" s="1098"/>
      <c r="L11" s="1098"/>
      <c r="M11" s="1098"/>
      <c r="N11" s="1098"/>
      <c r="O11" s="1098"/>
      <c r="P11" s="1098"/>
      <c r="Q11" s="1098"/>
      <c r="R11" s="1098"/>
      <c r="S11" s="1098"/>
      <c r="T11" s="1098"/>
      <c r="U11" s="1098"/>
      <c r="V11" s="1100"/>
      <c r="W11" s="1098"/>
      <c r="X11" s="1098"/>
      <c r="Y11" s="1098"/>
      <c r="Z11" s="1098"/>
      <c r="AA11" s="1098"/>
      <c r="AB11" s="1098"/>
      <c r="AC11" s="1098"/>
      <c r="AD11" s="1098"/>
      <c r="AE11" s="1098"/>
      <c r="AF11" s="1098"/>
      <c r="AG11" s="1100"/>
      <c r="AH11" s="1098"/>
      <c r="AI11" s="1098"/>
      <c r="AJ11" s="1098"/>
      <c r="AK11" s="1098"/>
      <c r="AL11" s="1111"/>
      <c r="AO11" s="1097"/>
      <c r="AP11" s="1098"/>
      <c r="AQ11" s="1542"/>
      <c r="AR11" s="1543"/>
      <c r="AS11" s="1543"/>
      <c r="AT11" s="1544"/>
      <c r="AU11" s="1100"/>
      <c r="AV11" s="1098"/>
      <c r="AW11" s="1098"/>
      <c r="AX11" s="1098"/>
      <c r="AY11" s="1098"/>
      <c r="AZ11" s="1098"/>
      <c r="BA11" s="1098"/>
      <c r="BB11" s="1098"/>
      <c r="BC11" s="1098"/>
      <c r="BD11" s="1098"/>
      <c r="BE11" s="1098"/>
      <c r="BF11" s="1098"/>
      <c r="BG11" s="1098"/>
      <c r="BH11" s="1098"/>
      <c r="BI11" s="1100"/>
      <c r="BJ11" s="1098"/>
      <c r="BK11" s="1098"/>
      <c r="BL11" s="1098"/>
      <c r="BM11" s="1098"/>
      <c r="BN11" s="1098"/>
      <c r="BO11" s="1098"/>
      <c r="BP11" s="1098"/>
      <c r="BQ11" s="1098"/>
      <c r="BR11" s="1098"/>
      <c r="BS11" s="1098"/>
      <c r="BT11" s="1100"/>
      <c r="BU11" s="1098"/>
      <c r="BV11" s="1098"/>
      <c r="BW11" s="1098"/>
      <c r="BX11" s="1098"/>
      <c r="BY11" s="1111"/>
      <c r="CB11" s="1097"/>
      <c r="CC11" s="1098"/>
      <c r="CD11" s="1542"/>
      <c r="CE11" s="1543"/>
      <c r="CF11" s="1543"/>
      <c r="CG11" s="1544"/>
      <c r="CH11" s="1100"/>
      <c r="CI11" s="1098"/>
      <c r="CJ11" s="1098"/>
      <c r="CK11" s="1098"/>
      <c r="CL11" s="1098"/>
      <c r="CM11" s="1098"/>
      <c r="CN11" s="1098"/>
      <c r="CO11" s="1098"/>
      <c r="CP11" s="1098"/>
      <c r="CQ11" s="1098"/>
      <c r="CR11" s="1098"/>
      <c r="CS11" s="1098"/>
      <c r="CT11" s="1098"/>
      <c r="CU11" s="1098"/>
      <c r="CV11" s="1100"/>
      <c r="CW11" s="1098"/>
      <c r="CX11" s="1098"/>
      <c r="CY11" s="1098"/>
      <c r="CZ11" s="1098"/>
      <c r="DA11" s="1098"/>
      <c r="DB11" s="1098"/>
      <c r="DC11" s="1098"/>
      <c r="DD11" s="1098"/>
      <c r="DE11" s="1098"/>
      <c r="DF11" s="1098"/>
      <c r="DG11" s="1100"/>
      <c r="DH11" s="1098"/>
      <c r="DI11" s="1098"/>
      <c r="DJ11" s="1098"/>
      <c r="DK11" s="1098"/>
      <c r="DL11" s="1111"/>
      <c r="DO11" s="1097"/>
      <c r="DP11" s="1098"/>
      <c r="DQ11" s="1542"/>
      <c r="DR11" s="1543"/>
      <c r="DS11" s="1543"/>
      <c r="DT11" s="1544"/>
      <c r="DU11" s="1100"/>
      <c r="DV11" s="1098"/>
      <c r="DW11" s="1098"/>
      <c r="DX11" s="1098"/>
      <c r="DY11" s="1098"/>
      <c r="DZ11" s="1098"/>
      <c r="EA11" s="1098"/>
      <c r="EB11" s="1098"/>
      <c r="EC11" s="1098"/>
      <c r="ED11" s="1098"/>
      <c r="EE11" s="1098"/>
      <c r="EF11" s="1098"/>
      <c r="EG11" s="1098"/>
      <c r="EH11" s="1098"/>
      <c r="EI11" s="1100"/>
      <c r="EJ11" s="1098"/>
      <c r="EK11" s="1098"/>
      <c r="EL11" s="1098"/>
      <c r="EM11" s="1098"/>
      <c r="EN11" s="1098"/>
      <c r="EO11" s="1098"/>
      <c r="EP11" s="1098"/>
      <c r="EQ11" s="1098"/>
      <c r="ER11" s="1098"/>
      <c r="ES11" s="1098"/>
      <c r="ET11" s="1100"/>
      <c r="EU11" s="1098"/>
      <c r="EV11" s="1098"/>
      <c r="EW11" s="1098"/>
      <c r="EX11" s="1098"/>
      <c r="EY11" s="1111"/>
    </row>
    <row r="12" spans="2:155" ht="12" customHeight="1" x14ac:dyDescent="0.2">
      <c r="B12" s="1112"/>
      <c r="C12" s="1113"/>
      <c r="D12" s="1539"/>
      <c r="E12" s="1540"/>
      <c r="F12" s="1540"/>
      <c r="G12" s="1541"/>
      <c r="H12" s="1114"/>
      <c r="I12" s="1113"/>
      <c r="J12" s="1113"/>
      <c r="K12" s="1113"/>
      <c r="L12" s="1113"/>
      <c r="M12" s="1113"/>
      <c r="N12" s="1113"/>
      <c r="O12" s="1113"/>
      <c r="P12" s="1113"/>
      <c r="Q12" s="1113"/>
      <c r="R12" s="1113"/>
      <c r="S12" s="1113"/>
      <c r="T12" s="1113"/>
      <c r="U12" s="1113"/>
      <c r="V12" s="1114"/>
      <c r="W12" s="1113"/>
      <c r="X12" s="1113"/>
      <c r="Y12" s="1113"/>
      <c r="Z12" s="1113"/>
      <c r="AA12" s="1113"/>
      <c r="AB12" s="1113"/>
      <c r="AC12" s="1113"/>
      <c r="AD12" s="1113"/>
      <c r="AE12" s="1113"/>
      <c r="AF12" s="1113"/>
      <c r="AG12" s="1114"/>
      <c r="AH12" s="1113"/>
      <c r="AI12" s="1113"/>
      <c r="AJ12" s="1113"/>
      <c r="AK12" s="1113"/>
      <c r="AL12" s="1115"/>
      <c r="AO12" s="1112"/>
      <c r="AP12" s="1113"/>
      <c r="AQ12" s="1539"/>
      <c r="AR12" s="1540"/>
      <c r="AS12" s="1540"/>
      <c r="AT12" s="1541"/>
      <c r="AU12" s="1114"/>
      <c r="AV12" s="1113"/>
      <c r="AW12" s="1113"/>
      <c r="AX12" s="1113"/>
      <c r="AY12" s="1113"/>
      <c r="AZ12" s="1113"/>
      <c r="BA12" s="1113"/>
      <c r="BB12" s="1113"/>
      <c r="BC12" s="1113"/>
      <c r="BD12" s="1113"/>
      <c r="BE12" s="1113"/>
      <c r="BF12" s="1113"/>
      <c r="BG12" s="1113"/>
      <c r="BH12" s="1113"/>
      <c r="BI12" s="1114"/>
      <c r="BJ12" s="1113"/>
      <c r="BK12" s="1113"/>
      <c r="BL12" s="1113"/>
      <c r="BM12" s="1113"/>
      <c r="BN12" s="1113"/>
      <c r="BO12" s="1113"/>
      <c r="BP12" s="1113"/>
      <c r="BQ12" s="1113"/>
      <c r="BR12" s="1113"/>
      <c r="BS12" s="1113"/>
      <c r="BT12" s="1114"/>
      <c r="BU12" s="1113"/>
      <c r="BV12" s="1113"/>
      <c r="BW12" s="1113"/>
      <c r="BX12" s="1113"/>
      <c r="BY12" s="1115"/>
      <c r="CB12" s="1112"/>
      <c r="CC12" s="1113"/>
      <c r="CD12" s="1539"/>
      <c r="CE12" s="1540"/>
      <c r="CF12" s="1540"/>
      <c r="CG12" s="1541"/>
      <c r="CH12" s="1114"/>
      <c r="CI12" s="1113"/>
      <c r="CJ12" s="1113"/>
      <c r="CK12" s="1113"/>
      <c r="CL12" s="1113"/>
      <c r="CM12" s="1113"/>
      <c r="CN12" s="1113"/>
      <c r="CO12" s="1113"/>
      <c r="CP12" s="1113"/>
      <c r="CQ12" s="1113"/>
      <c r="CR12" s="1113"/>
      <c r="CS12" s="1113"/>
      <c r="CT12" s="1113"/>
      <c r="CU12" s="1113"/>
      <c r="CV12" s="1114"/>
      <c r="CW12" s="1113"/>
      <c r="CX12" s="1113"/>
      <c r="CY12" s="1113"/>
      <c r="CZ12" s="1113"/>
      <c r="DA12" s="1113"/>
      <c r="DB12" s="1113"/>
      <c r="DC12" s="1113"/>
      <c r="DD12" s="1113"/>
      <c r="DE12" s="1113"/>
      <c r="DF12" s="1113"/>
      <c r="DG12" s="1114"/>
      <c r="DH12" s="1113"/>
      <c r="DI12" s="1113"/>
      <c r="DJ12" s="1113"/>
      <c r="DK12" s="1113"/>
      <c r="DL12" s="1115"/>
      <c r="DO12" s="1112"/>
      <c r="DP12" s="1113"/>
      <c r="DQ12" s="1539"/>
      <c r="DR12" s="1540"/>
      <c r="DS12" s="1540"/>
      <c r="DT12" s="1541"/>
      <c r="DU12" s="1114"/>
      <c r="DV12" s="1113"/>
      <c r="DW12" s="1113"/>
      <c r="DX12" s="1113"/>
      <c r="DY12" s="1113"/>
      <c r="DZ12" s="1113"/>
      <c r="EA12" s="1113"/>
      <c r="EB12" s="1113"/>
      <c r="EC12" s="1113"/>
      <c r="ED12" s="1113"/>
      <c r="EE12" s="1113"/>
      <c r="EF12" s="1113"/>
      <c r="EG12" s="1113"/>
      <c r="EH12" s="1113"/>
      <c r="EI12" s="1114"/>
      <c r="EJ12" s="1113"/>
      <c r="EK12" s="1113"/>
      <c r="EL12" s="1113"/>
      <c r="EM12" s="1113"/>
      <c r="EN12" s="1113"/>
      <c r="EO12" s="1113"/>
      <c r="EP12" s="1113"/>
      <c r="EQ12" s="1113"/>
      <c r="ER12" s="1113"/>
      <c r="ES12" s="1113"/>
      <c r="ET12" s="1114"/>
      <c r="EU12" s="1113"/>
      <c r="EV12" s="1113"/>
      <c r="EW12" s="1113"/>
      <c r="EX12" s="1113"/>
      <c r="EY12" s="1115"/>
    </row>
    <row r="13" spans="2:155" ht="12" customHeight="1" x14ac:dyDescent="0.2">
      <c r="B13" s="1097"/>
      <c r="C13" s="1098"/>
      <c r="D13" s="1542"/>
      <c r="E13" s="1543"/>
      <c r="F13" s="1543"/>
      <c r="G13" s="1544"/>
      <c r="H13" s="1100"/>
      <c r="I13" s="1098"/>
      <c r="J13" s="1098"/>
      <c r="K13" s="1098"/>
      <c r="L13" s="1098"/>
      <c r="M13" s="1098"/>
      <c r="N13" s="1098"/>
      <c r="O13" s="1098"/>
      <c r="P13" s="1098"/>
      <c r="Q13" s="1098"/>
      <c r="R13" s="1098"/>
      <c r="S13" s="1098"/>
      <c r="T13" s="1098"/>
      <c r="U13" s="1098"/>
      <c r="V13" s="1100"/>
      <c r="W13" s="1098"/>
      <c r="X13" s="1098"/>
      <c r="Y13" s="1098"/>
      <c r="Z13" s="1098"/>
      <c r="AA13" s="1098"/>
      <c r="AB13" s="1098"/>
      <c r="AC13" s="1098"/>
      <c r="AD13" s="1098"/>
      <c r="AE13" s="1098"/>
      <c r="AF13" s="1098"/>
      <c r="AG13" s="1100"/>
      <c r="AH13" s="1098"/>
      <c r="AI13" s="1098"/>
      <c r="AJ13" s="1098"/>
      <c r="AK13" s="1098"/>
      <c r="AL13" s="1111"/>
      <c r="AO13" s="1097"/>
      <c r="AP13" s="1098"/>
      <c r="AQ13" s="1542"/>
      <c r="AR13" s="1543"/>
      <c r="AS13" s="1543"/>
      <c r="AT13" s="1544"/>
      <c r="AU13" s="1100"/>
      <c r="AV13" s="1098"/>
      <c r="AW13" s="1098"/>
      <c r="AX13" s="1098"/>
      <c r="AY13" s="1098"/>
      <c r="AZ13" s="1098"/>
      <c r="BA13" s="1098"/>
      <c r="BB13" s="1098"/>
      <c r="BC13" s="1098"/>
      <c r="BD13" s="1098"/>
      <c r="BE13" s="1098"/>
      <c r="BF13" s="1098"/>
      <c r="BG13" s="1098"/>
      <c r="BH13" s="1098"/>
      <c r="BI13" s="1100"/>
      <c r="BJ13" s="1098"/>
      <c r="BK13" s="1098"/>
      <c r="BL13" s="1098"/>
      <c r="BM13" s="1098"/>
      <c r="BN13" s="1098"/>
      <c r="BO13" s="1098"/>
      <c r="BP13" s="1098"/>
      <c r="BQ13" s="1098"/>
      <c r="BR13" s="1098"/>
      <c r="BS13" s="1098"/>
      <c r="BT13" s="1100"/>
      <c r="BU13" s="1098"/>
      <c r="BV13" s="1098"/>
      <c r="BW13" s="1098"/>
      <c r="BX13" s="1098"/>
      <c r="BY13" s="1111"/>
      <c r="CB13" s="1097"/>
      <c r="CC13" s="1098"/>
      <c r="CD13" s="1542"/>
      <c r="CE13" s="1543"/>
      <c r="CF13" s="1543"/>
      <c r="CG13" s="1544"/>
      <c r="CH13" s="1100"/>
      <c r="CI13" s="1098"/>
      <c r="CJ13" s="1098"/>
      <c r="CK13" s="1098"/>
      <c r="CL13" s="1098"/>
      <c r="CM13" s="1098"/>
      <c r="CN13" s="1098"/>
      <c r="CO13" s="1098"/>
      <c r="CP13" s="1098"/>
      <c r="CQ13" s="1098"/>
      <c r="CR13" s="1098"/>
      <c r="CS13" s="1098"/>
      <c r="CT13" s="1098"/>
      <c r="CU13" s="1098"/>
      <c r="CV13" s="1100"/>
      <c r="CW13" s="1098"/>
      <c r="CX13" s="1098"/>
      <c r="CY13" s="1098"/>
      <c r="CZ13" s="1098"/>
      <c r="DA13" s="1098"/>
      <c r="DB13" s="1098"/>
      <c r="DC13" s="1098"/>
      <c r="DD13" s="1098"/>
      <c r="DE13" s="1098"/>
      <c r="DF13" s="1098"/>
      <c r="DG13" s="1100"/>
      <c r="DH13" s="1098"/>
      <c r="DI13" s="1098"/>
      <c r="DJ13" s="1098"/>
      <c r="DK13" s="1098"/>
      <c r="DL13" s="1111"/>
      <c r="DO13" s="1097"/>
      <c r="DP13" s="1098"/>
      <c r="DQ13" s="1542"/>
      <c r="DR13" s="1543"/>
      <c r="DS13" s="1543"/>
      <c r="DT13" s="1544"/>
      <c r="DU13" s="1100"/>
      <c r="DV13" s="1098"/>
      <c r="DW13" s="1098"/>
      <c r="DX13" s="1098"/>
      <c r="DY13" s="1098"/>
      <c r="DZ13" s="1098"/>
      <c r="EA13" s="1098"/>
      <c r="EB13" s="1098"/>
      <c r="EC13" s="1098"/>
      <c r="ED13" s="1098"/>
      <c r="EE13" s="1098"/>
      <c r="EF13" s="1098"/>
      <c r="EG13" s="1098"/>
      <c r="EH13" s="1098"/>
      <c r="EI13" s="1100"/>
      <c r="EJ13" s="1098"/>
      <c r="EK13" s="1098"/>
      <c r="EL13" s="1098"/>
      <c r="EM13" s="1098"/>
      <c r="EN13" s="1098"/>
      <c r="EO13" s="1098"/>
      <c r="EP13" s="1098"/>
      <c r="EQ13" s="1098"/>
      <c r="ER13" s="1098"/>
      <c r="ES13" s="1098"/>
      <c r="ET13" s="1100"/>
      <c r="EU13" s="1098"/>
      <c r="EV13" s="1098"/>
      <c r="EW13" s="1098"/>
      <c r="EX13" s="1098"/>
      <c r="EY13" s="1111"/>
    </row>
    <row r="14" spans="2:155" ht="12" customHeight="1" x14ac:dyDescent="0.2">
      <c r="B14" s="1112"/>
      <c r="C14" s="1113"/>
      <c r="D14" s="1539"/>
      <c r="E14" s="1540"/>
      <c r="F14" s="1540"/>
      <c r="G14" s="1541"/>
      <c r="H14" s="1114"/>
      <c r="I14" s="1113"/>
      <c r="J14" s="1113"/>
      <c r="K14" s="1113"/>
      <c r="L14" s="1113"/>
      <c r="M14" s="1113"/>
      <c r="N14" s="1113"/>
      <c r="O14" s="1113"/>
      <c r="P14" s="1113"/>
      <c r="Q14" s="1113"/>
      <c r="R14" s="1113"/>
      <c r="S14" s="1113"/>
      <c r="T14" s="1113"/>
      <c r="U14" s="1113"/>
      <c r="V14" s="1114"/>
      <c r="W14" s="1113"/>
      <c r="X14" s="1113"/>
      <c r="Y14" s="1113"/>
      <c r="Z14" s="1113"/>
      <c r="AA14" s="1113"/>
      <c r="AB14" s="1113"/>
      <c r="AC14" s="1113"/>
      <c r="AD14" s="1113"/>
      <c r="AE14" s="1113"/>
      <c r="AF14" s="1113"/>
      <c r="AG14" s="1114"/>
      <c r="AH14" s="1113"/>
      <c r="AI14" s="1113"/>
      <c r="AJ14" s="1113"/>
      <c r="AK14" s="1113"/>
      <c r="AL14" s="1115"/>
      <c r="AO14" s="1112"/>
      <c r="AP14" s="1113"/>
      <c r="AQ14" s="1539"/>
      <c r="AR14" s="1540"/>
      <c r="AS14" s="1540"/>
      <c r="AT14" s="1541"/>
      <c r="AU14" s="1114"/>
      <c r="AV14" s="1113"/>
      <c r="AW14" s="1113"/>
      <c r="AX14" s="1113"/>
      <c r="AY14" s="1113"/>
      <c r="AZ14" s="1113"/>
      <c r="BA14" s="1113"/>
      <c r="BB14" s="1113"/>
      <c r="BC14" s="1113"/>
      <c r="BD14" s="1113"/>
      <c r="BE14" s="1113"/>
      <c r="BF14" s="1113"/>
      <c r="BG14" s="1113"/>
      <c r="BH14" s="1113"/>
      <c r="BI14" s="1114"/>
      <c r="BJ14" s="1113"/>
      <c r="BK14" s="1113"/>
      <c r="BL14" s="1113"/>
      <c r="BM14" s="1113"/>
      <c r="BN14" s="1113"/>
      <c r="BO14" s="1113"/>
      <c r="BP14" s="1113"/>
      <c r="BQ14" s="1113"/>
      <c r="BR14" s="1113"/>
      <c r="BS14" s="1113"/>
      <c r="BT14" s="1114"/>
      <c r="BU14" s="1113"/>
      <c r="BV14" s="1113"/>
      <c r="BW14" s="1113"/>
      <c r="BX14" s="1113"/>
      <c r="BY14" s="1115"/>
      <c r="CB14" s="1112"/>
      <c r="CC14" s="1113"/>
      <c r="CD14" s="1539"/>
      <c r="CE14" s="1540"/>
      <c r="CF14" s="1540"/>
      <c r="CG14" s="1541"/>
      <c r="CH14" s="1114"/>
      <c r="CI14" s="1113"/>
      <c r="CJ14" s="1113"/>
      <c r="CK14" s="1113"/>
      <c r="CL14" s="1113"/>
      <c r="CM14" s="1113"/>
      <c r="CN14" s="1113"/>
      <c r="CO14" s="1113"/>
      <c r="CP14" s="1113"/>
      <c r="CQ14" s="1113"/>
      <c r="CR14" s="1113"/>
      <c r="CS14" s="1113"/>
      <c r="CT14" s="1113"/>
      <c r="CU14" s="1113"/>
      <c r="CV14" s="1114"/>
      <c r="CW14" s="1113"/>
      <c r="CX14" s="1113"/>
      <c r="CY14" s="1113"/>
      <c r="CZ14" s="1113"/>
      <c r="DA14" s="1113"/>
      <c r="DB14" s="1113"/>
      <c r="DC14" s="1113"/>
      <c r="DD14" s="1113"/>
      <c r="DE14" s="1113"/>
      <c r="DF14" s="1113"/>
      <c r="DG14" s="1114"/>
      <c r="DH14" s="1113"/>
      <c r="DI14" s="1113"/>
      <c r="DJ14" s="1113"/>
      <c r="DK14" s="1113"/>
      <c r="DL14" s="1115"/>
      <c r="DO14" s="1112"/>
      <c r="DP14" s="1113"/>
      <c r="DQ14" s="1539"/>
      <c r="DR14" s="1540"/>
      <c r="DS14" s="1540"/>
      <c r="DT14" s="1541"/>
      <c r="DU14" s="1114"/>
      <c r="DV14" s="1113"/>
      <c r="DW14" s="1113"/>
      <c r="DX14" s="1113"/>
      <c r="DY14" s="1113"/>
      <c r="DZ14" s="1113"/>
      <c r="EA14" s="1113"/>
      <c r="EB14" s="1113"/>
      <c r="EC14" s="1113"/>
      <c r="ED14" s="1113"/>
      <c r="EE14" s="1113"/>
      <c r="EF14" s="1113"/>
      <c r="EG14" s="1113"/>
      <c r="EH14" s="1113"/>
      <c r="EI14" s="1114"/>
      <c r="EJ14" s="1113"/>
      <c r="EK14" s="1113"/>
      <c r="EL14" s="1113"/>
      <c r="EM14" s="1113"/>
      <c r="EN14" s="1113"/>
      <c r="EO14" s="1113"/>
      <c r="EP14" s="1113"/>
      <c r="EQ14" s="1113"/>
      <c r="ER14" s="1113"/>
      <c r="ES14" s="1113"/>
      <c r="ET14" s="1114"/>
      <c r="EU14" s="1113"/>
      <c r="EV14" s="1113"/>
      <c r="EW14" s="1113"/>
      <c r="EX14" s="1113"/>
      <c r="EY14" s="1115"/>
    </row>
    <row r="15" spans="2:155" ht="12" customHeight="1" x14ac:dyDescent="0.2">
      <c r="B15" s="1097"/>
      <c r="C15" s="1098"/>
      <c r="D15" s="1542"/>
      <c r="E15" s="1543"/>
      <c r="F15" s="1543"/>
      <c r="G15" s="1544"/>
      <c r="H15" s="1100"/>
      <c r="I15" s="1098"/>
      <c r="J15" s="1098"/>
      <c r="K15" s="1098"/>
      <c r="L15" s="1098"/>
      <c r="M15" s="1098"/>
      <c r="N15" s="1098"/>
      <c r="O15" s="1098"/>
      <c r="P15" s="1098"/>
      <c r="Q15" s="1098"/>
      <c r="R15" s="1098"/>
      <c r="S15" s="1098"/>
      <c r="T15" s="1098"/>
      <c r="U15" s="1098"/>
      <c r="V15" s="1100"/>
      <c r="W15" s="1098"/>
      <c r="X15" s="1098"/>
      <c r="Y15" s="1098"/>
      <c r="Z15" s="1098"/>
      <c r="AA15" s="1098"/>
      <c r="AB15" s="1098"/>
      <c r="AC15" s="1098"/>
      <c r="AD15" s="1098"/>
      <c r="AE15" s="1098"/>
      <c r="AF15" s="1098"/>
      <c r="AG15" s="1100"/>
      <c r="AH15" s="1098"/>
      <c r="AI15" s="1098"/>
      <c r="AJ15" s="1098"/>
      <c r="AK15" s="1098"/>
      <c r="AL15" s="1111"/>
      <c r="AO15" s="1097"/>
      <c r="AP15" s="1098"/>
      <c r="AQ15" s="1542"/>
      <c r="AR15" s="1543"/>
      <c r="AS15" s="1543"/>
      <c r="AT15" s="1544"/>
      <c r="AU15" s="1100"/>
      <c r="AV15" s="1098"/>
      <c r="AW15" s="1098"/>
      <c r="AX15" s="1098"/>
      <c r="AY15" s="1098"/>
      <c r="AZ15" s="1098"/>
      <c r="BA15" s="1098"/>
      <c r="BB15" s="1098"/>
      <c r="BC15" s="1098"/>
      <c r="BD15" s="1098"/>
      <c r="BE15" s="1098"/>
      <c r="BF15" s="1098"/>
      <c r="BG15" s="1098"/>
      <c r="BH15" s="1098"/>
      <c r="BI15" s="1100"/>
      <c r="BJ15" s="1098"/>
      <c r="BK15" s="1098"/>
      <c r="BL15" s="1098"/>
      <c r="BM15" s="1098"/>
      <c r="BN15" s="1098"/>
      <c r="BO15" s="1098"/>
      <c r="BP15" s="1098"/>
      <c r="BQ15" s="1098"/>
      <c r="BR15" s="1098"/>
      <c r="BS15" s="1098"/>
      <c r="BT15" s="1100"/>
      <c r="BU15" s="1098"/>
      <c r="BV15" s="1098"/>
      <c r="BW15" s="1098"/>
      <c r="BX15" s="1098"/>
      <c r="BY15" s="1111"/>
      <c r="CB15" s="1097"/>
      <c r="CC15" s="1098"/>
      <c r="CD15" s="1542"/>
      <c r="CE15" s="1543"/>
      <c r="CF15" s="1543"/>
      <c r="CG15" s="1544"/>
      <c r="CH15" s="1100"/>
      <c r="CI15" s="1098"/>
      <c r="CJ15" s="1098"/>
      <c r="CK15" s="1098"/>
      <c r="CL15" s="1098"/>
      <c r="CM15" s="1098"/>
      <c r="CN15" s="1098"/>
      <c r="CO15" s="1098"/>
      <c r="CP15" s="1098"/>
      <c r="CQ15" s="1098"/>
      <c r="CR15" s="1098"/>
      <c r="CS15" s="1098"/>
      <c r="CT15" s="1098"/>
      <c r="CU15" s="1098"/>
      <c r="CV15" s="1100"/>
      <c r="CW15" s="1098"/>
      <c r="CX15" s="1098"/>
      <c r="CY15" s="1098"/>
      <c r="CZ15" s="1098"/>
      <c r="DA15" s="1098"/>
      <c r="DB15" s="1098"/>
      <c r="DC15" s="1098"/>
      <c r="DD15" s="1098"/>
      <c r="DE15" s="1098"/>
      <c r="DF15" s="1098"/>
      <c r="DG15" s="1100"/>
      <c r="DH15" s="1098"/>
      <c r="DI15" s="1098"/>
      <c r="DJ15" s="1098"/>
      <c r="DK15" s="1098"/>
      <c r="DL15" s="1111"/>
      <c r="DO15" s="1097"/>
      <c r="DP15" s="1098"/>
      <c r="DQ15" s="1542"/>
      <c r="DR15" s="1543"/>
      <c r="DS15" s="1543"/>
      <c r="DT15" s="1544"/>
      <c r="DU15" s="1100"/>
      <c r="DV15" s="1098"/>
      <c r="DW15" s="1098"/>
      <c r="DX15" s="1098"/>
      <c r="DY15" s="1098"/>
      <c r="DZ15" s="1098"/>
      <c r="EA15" s="1098"/>
      <c r="EB15" s="1098"/>
      <c r="EC15" s="1098"/>
      <c r="ED15" s="1098"/>
      <c r="EE15" s="1098"/>
      <c r="EF15" s="1098"/>
      <c r="EG15" s="1098"/>
      <c r="EH15" s="1098"/>
      <c r="EI15" s="1100"/>
      <c r="EJ15" s="1098"/>
      <c r="EK15" s="1098"/>
      <c r="EL15" s="1098"/>
      <c r="EM15" s="1098"/>
      <c r="EN15" s="1098"/>
      <c r="EO15" s="1098"/>
      <c r="EP15" s="1098"/>
      <c r="EQ15" s="1098"/>
      <c r="ER15" s="1098"/>
      <c r="ES15" s="1098"/>
      <c r="ET15" s="1100"/>
      <c r="EU15" s="1098"/>
      <c r="EV15" s="1098"/>
      <c r="EW15" s="1098"/>
      <c r="EX15" s="1098"/>
      <c r="EY15" s="1111"/>
    </row>
    <row r="16" spans="2:155" ht="12" customHeight="1" x14ac:dyDescent="0.2">
      <c r="B16" s="1112"/>
      <c r="C16" s="1113"/>
      <c r="D16" s="1539"/>
      <c r="E16" s="1540"/>
      <c r="F16" s="1540"/>
      <c r="G16" s="1541"/>
      <c r="H16" s="1114"/>
      <c r="I16" s="1113"/>
      <c r="J16" s="1113"/>
      <c r="K16" s="1113"/>
      <c r="L16" s="1113"/>
      <c r="M16" s="1113"/>
      <c r="N16" s="1113"/>
      <c r="O16" s="1113"/>
      <c r="P16" s="1113"/>
      <c r="Q16" s="1113"/>
      <c r="R16" s="1113"/>
      <c r="S16" s="1113"/>
      <c r="T16" s="1113"/>
      <c r="U16" s="1113"/>
      <c r="V16" s="1114"/>
      <c r="W16" s="1113"/>
      <c r="X16" s="1113"/>
      <c r="Y16" s="1113"/>
      <c r="Z16" s="1113"/>
      <c r="AA16" s="1113"/>
      <c r="AB16" s="1113"/>
      <c r="AC16" s="1113"/>
      <c r="AD16" s="1113"/>
      <c r="AE16" s="1113"/>
      <c r="AF16" s="1113"/>
      <c r="AG16" s="1114"/>
      <c r="AH16" s="1113"/>
      <c r="AI16" s="1113"/>
      <c r="AJ16" s="1113"/>
      <c r="AK16" s="1113"/>
      <c r="AL16" s="1115"/>
      <c r="AO16" s="1112"/>
      <c r="AP16" s="1113"/>
      <c r="AQ16" s="1539"/>
      <c r="AR16" s="1540"/>
      <c r="AS16" s="1540"/>
      <c r="AT16" s="1541"/>
      <c r="AU16" s="1114"/>
      <c r="AV16" s="1113"/>
      <c r="AW16" s="1113"/>
      <c r="AX16" s="1113"/>
      <c r="AY16" s="1113"/>
      <c r="AZ16" s="1113"/>
      <c r="BA16" s="1113"/>
      <c r="BB16" s="1113"/>
      <c r="BC16" s="1113"/>
      <c r="BD16" s="1113"/>
      <c r="BE16" s="1113"/>
      <c r="BF16" s="1113"/>
      <c r="BG16" s="1113"/>
      <c r="BH16" s="1113"/>
      <c r="BI16" s="1114"/>
      <c r="BJ16" s="1113"/>
      <c r="BK16" s="1113"/>
      <c r="BL16" s="1113"/>
      <c r="BM16" s="1113"/>
      <c r="BN16" s="1113"/>
      <c r="BO16" s="1113"/>
      <c r="BP16" s="1113"/>
      <c r="BQ16" s="1113"/>
      <c r="BR16" s="1113"/>
      <c r="BS16" s="1113"/>
      <c r="BT16" s="1114"/>
      <c r="BU16" s="1113"/>
      <c r="BV16" s="1113"/>
      <c r="BW16" s="1113"/>
      <c r="BX16" s="1113"/>
      <c r="BY16" s="1115"/>
      <c r="CB16" s="1112"/>
      <c r="CC16" s="1113"/>
      <c r="CD16" s="1539"/>
      <c r="CE16" s="1540"/>
      <c r="CF16" s="1540"/>
      <c r="CG16" s="1541"/>
      <c r="CH16" s="1114"/>
      <c r="CI16" s="1113"/>
      <c r="CJ16" s="1113"/>
      <c r="CK16" s="1113"/>
      <c r="CL16" s="1113"/>
      <c r="CM16" s="1113"/>
      <c r="CN16" s="1113"/>
      <c r="CO16" s="1113"/>
      <c r="CP16" s="1113"/>
      <c r="CQ16" s="1113"/>
      <c r="CR16" s="1113"/>
      <c r="CS16" s="1113"/>
      <c r="CT16" s="1113"/>
      <c r="CU16" s="1113"/>
      <c r="CV16" s="1114"/>
      <c r="CW16" s="1113"/>
      <c r="CX16" s="1113"/>
      <c r="CY16" s="1113"/>
      <c r="CZ16" s="1113"/>
      <c r="DA16" s="1113"/>
      <c r="DB16" s="1113"/>
      <c r="DC16" s="1113"/>
      <c r="DD16" s="1113"/>
      <c r="DE16" s="1113"/>
      <c r="DF16" s="1113"/>
      <c r="DG16" s="1114"/>
      <c r="DH16" s="1113"/>
      <c r="DI16" s="1113"/>
      <c r="DJ16" s="1113"/>
      <c r="DK16" s="1113"/>
      <c r="DL16" s="1115"/>
      <c r="DO16" s="1112"/>
      <c r="DP16" s="1113"/>
      <c r="DQ16" s="1539"/>
      <c r="DR16" s="1540"/>
      <c r="DS16" s="1540"/>
      <c r="DT16" s="1541"/>
      <c r="DU16" s="1114"/>
      <c r="DV16" s="1113"/>
      <c r="DW16" s="1113"/>
      <c r="DX16" s="1113"/>
      <c r="DY16" s="1113"/>
      <c r="DZ16" s="1113"/>
      <c r="EA16" s="1113"/>
      <c r="EB16" s="1113"/>
      <c r="EC16" s="1113"/>
      <c r="ED16" s="1113"/>
      <c r="EE16" s="1113"/>
      <c r="EF16" s="1113"/>
      <c r="EG16" s="1113"/>
      <c r="EH16" s="1113"/>
      <c r="EI16" s="1114"/>
      <c r="EJ16" s="1113"/>
      <c r="EK16" s="1113"/>
      <c r="EL16" s="1113"/>
      <c r="EM16" s="1113"/>
      <c r="EN16" s="1113"/>
      <c r="EO16" s="1113"/>
      <c r="EP16" s="1113"/>
      <c r="EQ16" s="1113"/>
      <c r="ER16" s="1113"/>
      <c r="ES16" s="1113"/>
      <c r="ET16" s="1114"/>
      <c r="EU16" s="1113"/>
      <c r="EV16" s="1113"/>
      <c r="EW16" s="1113"/>
      <c r="EX16" s="1113"/>
      <c r="EY16" s="1115"/>
    </row>
    <row r="17" spans="2:155" ht="12" customHeight="1" x14ac:dyDescent="0.2">
      <c r="B17" s="1097"/>
      <c r="C17" s="1098"/>
      <c r="D17" s="1542"/>
      <c r="E17" s="1543"/>
      <c r="F17" s="1543"/>
      <c r="G17" s="1544"/>
      <c r="H17" s="1100"/>
      <c r="I17" s="1098"/>
      <c r="J17" s="1098"/>
      <c r="K17" s="1098"/>
      <c r="L17" s="1098"/>
      <c r="M17" s="1098"/>
      <c r="N17" s="1098"/>
      <c r="O17" s="1098"/>
      <c r="P17" s="1098"/>
      <c r="Q17" s="1098"/>
      <c r="R17" s="1098"/>
      <c r="S17" s="1098"/>
      <c r="T17" s="1098"/>
      <c r="U17" s="1098"/>
      <c r="V17" s="1100"/>
      <c r="W17" s="1098"/>
      <c r="X17" s="1098"/>
      <c r="Y17" s="1098"/>
      <c r="Z17" s="1098"/>
      <c r="AA17" s="1098"/>
      <c r="AB17" s="1098"/>
      <c r="AC17" s="1098"/>
      <c r="AD17" s="1098"/>
      <c r="AE17" s="1098"/>
      <c r="AF17" s="1098"/>
      <c r="AG17" s="1100"/>
      <c r="AH17" s="1098"/>
      <c r="AI17" s="1098"/>
      <c r="AJ17" s="1098"/>
      <c r="AK17" s="1098"/>
      <c r="AL17" s="1111"/>
      <c r="AO17" s="1097"/>
      <c r="AP17" s="1098"/>
      <c r="AQ17" s="1542"/>
      <c r="AR17" s="1543"/>
      <c r="AS17" s="1543"/>
      <c r="AT17" s="1544"/>
      <c r="AU17" s="1100"/>
      <c r="AV17" s="1098"/>
      <c r="AW17" s="1098"/>
      <c r="AX17" s="1098"/>
      <c r="AY17" s="1098"/>
      <c r="AZ17" s="1098"/>
      <c r="BA17" s="1098"/>
      <c r="BB17" s="1098"/>
      <c r="BC17" s="1098"/>
      <c r="BD17" s="1098"/>
      <c r="BE17" s="1098"/>
      <c r="BF17" s="1098"/>
      <c r="BG17" s="1098"/>
      <c r="BH17" s="1098"/>
      <c r="BI17" s="1100"/>
      <c r="BJ17" s="1098"/>
      <c r="BK17" s="1098"/>
      <c r="BL17" s="1098"/>
      <c r="BM17" s="1098"/>
      <c r="BN17" s="1098"/>
      <c r="BO17" s="1098"/>
      <c r="BP17" s="1098"/>
      <c r="BQ17" s="1098"/>
      <c r="BR17" s="1098"/>
      <c r="BS17" s="1098"/>
      <c r="BT17" s="1100"/>
      <c r="BU17" s="1098"/>
      <c r="BV17" s="1098"/>
      <c r="BW17" s="1098"/>
      <c r="BX17" s="1098"/>
      <c r="BY17" s="1111"/>
      <c r="CB17" s="1097"/>
      <c r="CC17" s="1098"/>
      <c r="CD17" s="1542"/>
      <c r="CE17" s="1543"/>
      <c r="CF17" s="1543"/>
      <c r="CG17" s="1544"/>
      <c r="CH17" s="1100"/>
      <c r="CI17" s="1098"/>
      <c r="CJ17" s="1098"/>
      <c r="CK17" s="1098"/>
      <c r="CL17" s="1098"/>
      <c r="CM17" s="1098"/>
      <c r="CN17" s="1098"/>
      <c r="CO17" s="1098"/>
      <c r="CP17" s="1098"/>
      <c r="CQ17" s="1098"/>
      <c r="CR17" s="1098"/>
      <c r="CS17" s="1098"/>
      <c r="CT17" s="1098"/>
      <c r="CU17" s="1098"/>
      <c r="CV17" s="1100"/>
      <c r="CW17" s="1098"/>
      <c r="CX17" s="1098"/>
      <c r="CY17" s="1098"/>
      <c r="CZ17" s="1098"/>
      <c r="DA17" s="1098"/>
      <c r="DB17" s="1098"/>
      <c r="DC17" s="1098"/>
      <c r="DD17" s="1098"/>
      <c r="DE17" s="1098"/>
      <c r="DF17" s="1098"/>
      <c r="DG17" s="1100"/>
      <c r="DH17" s="1098"/>
      <c r="DI17" s="1098"/>
      <c r="DJ17" s="1098"/>
      <c r="DK17" s="1098"/>
      <c r="DL17" s="1111"/>
      <c r="DO17" s="1097"/>
      <c r="DP17" s="1098"/>
      <c r="DQ17" s="1542"/>
      <c r="DR17" s="1543"/>
      <c r="DS17" s="1543"/>
      <c r="DT17" s="1544"/>
      <c r="DU17" s="1100"/>
      <c r="DV17" s="1098"/>
      <c r="DW17" s="1098"/>
      <c r="DX17" s="1098"/>
      <c r="DY17" s="1098"/>
      <c r="DZ17" s="1098"/>
      <c r="EA17" s="1098"/>
      <c r="EB17" s="1098"/>
      <c r="EC17" s="1098"/>
      <c r="ED17" s="1098"/>
      <c r="EE17" s="1098"/>
      <c r="EF17" s="1098"/>
      <c r="EG17" s="1098"/>
      <c r="EH17" s="1098"/>
      <c r="EI17" s="1100"/>
      <c r="EJ17" s="1098"/>
      <c r="EK17" s="1098"/>
      <c r="EL17" s="1098"/>
      <c r="EM17" s="1098"/>
      <c r="EN17" s="1098"/>
      <c r="EO17" s="1098"/>
      <c r="EP17" s="1098"/>
      <c r="EQ17" s="1098"/>
      <c r="ER17" s="1098"/>
      <c r="ES17" s="1098"/>
      <c r="ET17" s="1100"/>
      <c r="EU17" s="1098"/>
      <c r="EV17" s="1098"/>
      <c r="EW17" s="1098"/>
      <c r="EX17" s="1098"/>
      <c r="EY17" s="1111"/>
    </row>
    <row r="18" spans="2:155" ht="12" customHeight="1" x14ac:dyDescent="0.2">
      <c r="B18" s="1112"/>
      <c r="C18" s="1113"/>
      <c r="D18" s="1539"/>
      <c r="E18" s="1540"/>
      <c r="F18" s="1540"/>
      <c r="G18" s="1541"/>
      <c r="H18" s="1114"/>
      <c r="I18" s="1113"/>
      <c r="J18" s="1113"/>
      <c r="K18" s="1113"/>
      <c r="L18" s="1113"/>
      <c r="M18" s="1113"/>
      <c r="N18" s="1113"/>
      <c r="O18" s="1113"/>
      <c r="P18" s="1113"/>
      <c r="Q18" s="1113"/>
      <c r="R18" s="1113"/>
      <c r="S18" s="1113"/>
      <c r="T18" s="1113"/>
      <c r="U18" s="1113"/>
      <c r="V18" s="1114"/>
      <c r="W18" s="1113"/>
      <c r="X18" s="1113"/>
      <c r="Y18" s="1113"/>
      <c r="Z18" s="1113"/>
      <c r="AA18" s="1113"/>
      <c r="AB18" s="1113"/>
      <c r="AC18" s="1113"/>
      <c r="AD18" s="1113"/>
      <c r="AE18" s="1113"/>
      <c r="AF18" s="1113"/>
      <c r="AG18" s="1114"/>
      <c r="AH18" s="1113"/>
      <c r="AI18" s="1113"/>
      <c r="AJ18" s="1113"/>
      <c r="AK18" s="1113"/>
      <c r="AL18" s="1115"/>
      <c r="AO18" s="1112"/>
      <c r="AP18" s="1113"/>
      <c r="AQ18" s="1539"/>
      <c r="AR18" s="1540"/>
      <c r="AS18" s="1540"/>
      <c r="AT18" s="1541"/>
      <c r="AU18" s="1114"/>
      <c r="AV18" s="1113"/>
      <c r="AW18" s="1113"/>
      <c r="AX18" s="1113"/>
      <c r="AY18" s="1113"/>
      <c r="AZ18" s="1113"/>
      <c r="BA18" s="1113"/>
      <c r="BB18" s="1113"/>
      <c r="BC18" s="1113"/>
      <c r="BD18" s="1113"/>
      <c r="BE18" s="1113"/>
      <c r="BF18" s="1113"/>
      <c r="BG18" s="1113"/>
      <c r="BH18" s="1113"/>
      <c r="BI18" s="1114"/>
      <c r="BJ18" s="1113"/>
      <c r="BK18" s="1113"/>
      <c r="BL18" s="1113"/>
      <c r="BM18" s="1113"/>
      <c r="BN18" s="1113"/>
      <c r="BO18" s="1113"/>
      <c r="BP18" s="1113"/>
      <c r="BQ18" s="1113"/>
      <c r="BR18" s="1113"/>
      <c r="BS18" s="1113"/>
      <c r="BT18" s="1114"/>
      <c r="BU18" s="1113"/>
      <c r="BV18" s="1113"/>
      <c r="BW18" s="1113"/>
      <c r="BX18" s="1113"/>
      <c r="BY18" s="1115"/>
      <c r="CB18" s="1112"/>
      <c r="CC18" s="1113"/>
      <c r="CD18" s="1539"/>
      <c r="CE18" s="1540"/>
      <c r="CF18" s="1540"/>
      <c r="CG18" s="1541"/>
      <c r="CH18" s="1114"/>
      <c r="CI18" s="1113"/>
      <c r="CJ18" s="1113"/>
      <c r="CK18" s="1113"/>
      <c r="CL18" s="1113"/>
      <c r="CM18" s="1113"/>
      <c r="CN18" s="1113"/>
      <c r="CO18" s="1113"/>
      <c r="CP18" s="1113"/>
      <c r="CQ18" s="1113"/>
      <c r="CR18" s="1113"/>
      <c r="CS18" s="1113"/>
      <c r="CT18" s="1113"/>
      <c r="CU18" s="1113"/>
      <c r="CV18" s="1114"/>
      <c r="CW18" s="1113"/>
      <c r="CX18" s="1113"/>
      <c r="CY18" s="1113"/>
      <c r="CZ18" s="1113"/>
      <c r="DA18" s="1113"/>
      <c r="DB18" s="1113"/>
      <c r="DC18" s="1113"/>
      <c r="DD18" s="1113"/>
      <c r="DE18" s="1113"/>
      <c r="DF18" s="1113"/>
      <c r="DG18" s="1114"/>
      <c r="DH18" s="1113"/>
      <c r="DI18" s="1113"/>
      <c r="DJ18" s="1113"/>
      <c r="DK18" s="1113"/>
      <c r="DL18" s="1115"/>
      <c r="DO18" s="1112"/>
      <c r="DP18" s="1113"/>
      <c r="DQ18" s="1539"/>
      <c r="DR18" s="1540"/>
      <c r="DS18" s="1540"/>
      <c r="DT18" s="1541"/>
      <c r="DU18" s="1114"/>
      <c r="DV18" s="1113"/>
      <c r="DW18" s="1113"/>
      <c r="DX18" s="1113"/>
      <c r="DY18" s="1113"/>
      <c r="DZ18" s="1113"/>
      <c r="EA18" s="1113"/>
      <c r="EB18" s="1113"/>
      <c r="EC18" s="1113"/>
      <c r="ED18" s="1113"/>
      <c r="EE18" s="1113"/>
      <c r="EF18" s="1113"/>
      <c r="EG18" s="1113"/>
      <c r="EH18" s="1113"/>
      <c r="EI18" s="1114"/>
      <c r="EJ18" s="1113"/>
      <c r="EK18" s="1113"/>
      <c r="EL18" s="1113"/>
      <c r="EM18" s="1113"/>
      <c r="EN18" s="1113"/>
      <c r="EO18" s="1113"/>
      <c r="EP18" s="1113"/>
      <c r="EQ18" s="1113"/>
      <c r="ER18" s="1113"/>
      <c r="ES18" s="1113"/>
      <c r="ET18" s="1114"/>
      <c r="EU18" s="1113"/>
      <c r="EV18" s="1113"/>
      <c r="EW18" s="1113"/>
      <c r="EX18" s="1113"/>
      <c r="EY18" s="1115"/>
    </row>
    <row r="19" spans="2:155" ht="12" customHeight="1" x14ac:dyDescent="0.2">
      <c r="B19" s="1097"/>
      <c r="C19" s="1098"/>
      <c r="D19" s="1542"/>
      <c r="E19" s="1543"/>
      <c r="F19" s="1543"/>
      <c r="G19" s="1544"/>
      <c r="H19" s="1100"/>
      <c r="I19" s="1098"/>
      <c r="J19" s="1098"/>
      <c r="K19" s="1098"/>
      <c r="L19" s="1098"/>
      <c r="M19" s="1098"/>
      <c r="N19" s="1098"/>
      <c r="O19" s="1098"/>
      <c r="P19" s="1098"/>
      <c r="Q19" s="1098"/>
      <c r="R19" s="1098"/>
      <c r="S19" s="1098"/>
      <c r="T19" s="1098"/>
      <c r="U19" s="1098"/>
      <c r="V19" s="1100"/>
      <c r="W19" s="1098"/>
      <c r="X19" s="1098"/>
      <c r="Y19" s="1098"/>
      <c r="Z19" s="1098"/>
      <c r="AA19" s="1098"/>
      <c r="AB19" s="1098"/>
      <c r="AC19" s="1098"/>
      <c r="AD19" s="1098"/>
      <c r="AE19" s="1098"/>
      <c r="AF19" s="1098"/>
      <c r="AG19" s="1100"/>
      <c r="AH19" s="1098"/>
      <c r="AI19" s="1098"/>
      <c r="AJ19" s="1098"/>
      <c r="AK19" s="1098"/>
      <c r="AL19" s="1111"/>
      <c r="AO19" s="1097"/>
      <c r="AP19" s="1098"/>
      <c r="AQ19" s="1542"/>
      <c r="AR19" s="1543"/>
      <c r="AS19" s="1543"/>
      <c r="AT19" s="1544"/>
      <c r="AU19" s="1100"/>
      <c r="AV19" s="1098"/>
      <c r="AW19" s="1098"/>
      <c r="AX19" s="1098"/>
      <c r="AY19" s="1098"/>
      <c r="AZ19" s="1098"/>
      <c r="BA19" s="1098"/>
      <c r="BB19" s="1098"/>
      <c r="BC19" s="1098"/>
      <c r="BD19" s="1098"/>
      <c r="BE19" s="1098"/>
      <c r="BF19" s="1098"/>
      <c r="BG19" s="1098"/>
      <c r="BH19" s="1098"/>
      <c r="BI19" s="1100"/>
      <c r="BJ19" s="1098"/>
      <c r="BK19" s="1098"/>
      <c r="BL19" s="1098"/>
      <c r="BM19" s="1098"/>
      <c r="BN19" s="1098"/>
      <c r="BO19" s="1098"/>
      <c r="BP19" s="1098"/>
      <c r="BQ19" s="1098"/>
      <c r="BR19" s="1098"/>
      <c r="BS19" s="1098"/>
      <c r="BT19" s="1100"/>
      <c r="BU19" s="1098"/>
      <c r="BV19" s="1098"/>
      <c r="BW19" s="1098"/>
      <c r="BX19" s="1098"/>
      <c r="BY19" s="1111"/>
      <c r="CB19" s="1097"/>
      <c r="CC19" s="1098"/>
      <c r="CD19" s="1542"/>
      <c r="CE19" s="1543"/>
      <c r="CF19" s="1543"/>
      <c r="CG19" s="1544"/>
      <c r="CH19" s="1100"/>
      <c r="CI19" s="1098"/>
      <c r="CJ19" s="1098"/>
      <c r="CK19" s="1098"/>
      <c r="CL19" s="1098"/>
      <c r="CM19" s="1098"/>
      <c r="CN19" s="1098"/>
      <c r="CO19" s="1098"/>
      <c r="CP19" s="1098"/>
      <c r="CQ19" s="1098"/>
      <c r="CR19" s="1098"/>
      <c r="CS19" s="1098"/>
      <c r="CT19" s="1098"/>
      <c r="CU19" s="1098"/>
      <c r="CV19" s="1100"/>
      <c r="CW19" s="1098"/>
      <c r="CX19" s="1098"/>
      <c r="CY19" s="1098"/>
      <c r="CZ19" s="1098"/>
      <c r="DA19" s="1098"/>
      <c r="DB19" s="1098"/>
      <c r="DC19" s="1098"/>
      <c r="DD19" s="1098"/>
      <c r="DE19" s="1098"/>
      <c r="DF19" s="1098"/>
      <c r="DG19" s="1100"/>
      <c r="DH19" s="1098"/>
      <c r="DI19" s="1098"/>
      <c r="DJ19" s="1098"/>
      <c r="DK19" s="1098"/>
      <c r="DL19" s="1111"/>
      <c r="DO19" s="1097"/>
      <c r="DP19" s="1098"/>
      <c r="DQ19" s="1542"/>
      <c r="DR19" s="1543"/>
      <c r="DS19" s="1543"/>
      <c r="DT19" s="1544"/>
      <c r="DU19" s="1100"/>
      <c r="DV19" s="1098"/>
      <c r="DW19" s="1098"/>
      <c r="DX19" s="1098"/>
      <c r="DY19" s="1098"/>
      <c r="DZ19" s="1098"/>
      <c r="EA19" s="1098"/>
      <c r="EB19" s="1098"/>
      <c r="EC19" s="1098"/>
      <c r="ED19" s="1098"/>
      <c r="EE19" s="1098"/>
      <c r="EF19" s="1098"/>
      <c r="EG19" s="1098"/>
      <c r="EH19" s="1098"/>
      <c r="EI19" s="1100"/>
      <c r="EJ19" s="1098"/>
      <c r="EK19" s="1098"/>
      <c r="EL19" s="1098"/>
      <c r="EM19" s="1098"/>
      <c r="EN19" s="1098"/>
      <c r="EO19" s="1098"/>
      <c r="EP19" s="1098"/>
      <c r="EQ19" s="1098"/>
      <c r="ER19" s="1098"/>
      <c r="ES19" s="1098"/>
      <c r="ET19" s="1100"/>
      <c r="EU19" s="1098"/>
      <c r="EV19" s="1098"/>
      <c r="EW19" s="1098"/>
      <c r="EX19" s="1098"/>
      <c r="EY19" s="1111"/>
    </row>
    <row r="20" spans="2:155" ht="12" customHeight="1" x14ac:dyDescent="0.2">
      <c r="B20" s="1112"/>
      <c r="C20" s="1113"/>
      <c r="D20" s="1539"/>
      <c r="E20" s="1540"/>
      <c r="F20" s="1540"/>
      <c r="G20" s="1541"/>
      <c r="H20" s="1114"/>
      <c r="I20" s="1113"/>
      <c r="J20" s="1113"/>
      <c r="K20" s="1113"/>
      <c r="L20" s="1113"/>
      <c r="M20" s="1113"/>
      <c r="N20" s="1113"/>
      <c r="O20" s="1113"/>
      <c r="P20" s="1113"/>
      <c r="Q20" s="1113"/>
      <c r="R20" s="1113"/>
      <c r="S20" s="1113"/>
      <c r="T20" s="1113"/>
      <c r="U20" s="1113"/>
      <c r="V20" s="1114"/>
      <c r="W20" s="1113"/>
      <c r="X20" s="1113"/>
      <c r="Y20" s="1113"/>
      <c r="Z20" s="1113"/>
      <c r="AA20" s="1113"/>
      <c r="AB20" s="1113"/>
      <c r="AC20" s="1113"/>
      <c r="AD20" s="1113"/>
      <c r="AE20" s="1113"/>
      <c r="AF20" s="1113"/>
      <c r="AG20" s="1114"/>
      <c r="AH20" s="1113"/>
      <c r="AI20" s="1113"/>
      <c r="AJ20" s="1113"/>
      <c r="AK20" s="1113"/>
      <c r="AL20" s="1115"/>
      <c r="AO20" s="1112"/>
      <c r="AP20" s="1113"/>
      <c r="AQ20" s="1539"/>
      <c r="AR20" s="1540"/>
      <c r="AS20" s="1540"/>
      <c r="AT20" s="1541"/>
      <c r="AU20" s="1114"/>
      <c r="AV20" s="1113"/>
      <c r="AW20" s="1113"/>
      <c r="AX20" s="1113"/>
      <c r="AY20" s="1113"/>
      <c r="AZ20" s="1113"/>
      <c r="BA20" s="1113"/>
      <c r="BB20" s="1113"/>
      <c r="BC20" s="1113"/>
      <c r="BD20" s="1113"/>
      <c r="BE20" s="1113"/>
      <c r="BF20" s="1113"/>
      <c r="BG20" s="1113"/>
      <c r="BH20" s="1113"/>
      <c r="BI20" s="1114"/>
      <c r="BJ20" s="1113"/>
      <c r="BK20" s="1113"/>
      <c r="BL20" s="1113"/>
      <c r="BM20" s="1113"/>
      <c r="BN20" s="1113"/>
      <c r="BO20" s="1113"/>
      <c r="BP20" s="1113"/>
      <c r="BQ20" s="1113"/>
      <c r="BR20" s="1113"/>
      <c r="BS20" s="1113"/>
      <c r="BT20" s="1114"/>
      <c r="BU20" s="1113"/>
      <c r="BV20" s="1113"/>
      <c r="BW20" s="1113"/>
      <c r="BX20" s="1113"/>
      <c r="BY20" s="1115"/>
      <c r="CB20" s="1112"/>
      <c r="CC20" s="1113"/>
      <c r="CD20" s="1539"/>
      <c r="CE20" s="1540"/>
      <c r="CF20" s="1540"/>
      <c r="CG20" s="1541"/>
      <c r="CH20" s="1114"/>
      <c r="CI20" s="1113"/>
      <c r="CJ20" s="1113"/>
      <c r="CK20" s="1113"/>
      <c r="CL20" s="1113"/>
      <c r="CM20" s="1113"/>
      <c r="CN20" s="1113"/>
      <c r="CO20" s="1113"/>
      <c r="CP20" s="1113"/>
      <c r="CQ20" s="1113"/>
      <c r="CR20" s="1113"/>
      <c r="CS20" s="1113"/>
      <c r="CT20" s="1113"/>
      <c r="CU20" s="1113"/>
      <c r="CV20" s="1114"/>
      <c r="CW20" s="1113"/>
      <c r="CX20" s="1113"/>
      <c r="CY20" s="1113"/>
      <c r="CZ20" s="1113"/>
      <c r="DA20" s="1113"/>
      <c r="DB20" s="1113"/>
      <c r="DC20" s="1113"/>
      <c r="DD20" s="1113"/>
      <c r="DE20" s="1113"/>
      <c r="DF20" s="1113"/>
      <c r="DG20" s="1114"/>
      <c r="DH20" s="1113"/>
      <c r="DI20" s="1113"/>
      <c r="DJ20" s="1113"/>
      <c r="DK20" s="1113"/>
      <c r="DL20" s="1115"/>
      <c r="DO20" s="1112"/>
      <c r="DP20" s="1113"/>
      <c r="DQ20" s="1539"/>
      <c r="DR20" s="1540"/>
      <c r="DS20" s="1540"/>
      <c r="DT20" s="1541"/>
      <c r="DU20" s="1114"/>
      <c r="DV20" s="1113"/>
      <c r="DW20" s="1113"/>
      <c r="DX20" s="1113"/>
      <c r="DY20" s="1113"/>
      <c r="DZ20" s="1113"/>
      <c r="EA20" s="1113"/>
      <c r="EB20" s="1113"/>
      <c r="EC20" s="1113"/>
      <c r="ED20" s="1113"/>
      <c r="EE20" s="1113"/>
      <c r="EF20" s="1113"/>
      <c r="EG20" s="1113"/>
      <c r="EH20" s="1113"/>
      <c r="EI20" s="1114"/>
      <c r="EJ20" s="1113"/>
      <c r="EK20" s="1113"/>
      <c r="EL20" s="1113"/>
      <c r="EM20" s="1113"/>
      <c r="EN20" s="1113"/>
      <c r="EO20" s="1113"/>
      <c r="EP20" s="1113"/>
      <c r="EQ20" s="1113"/>
      <c r="ER20" s="1113"/>
      <c r="ES20" s="1113"/>
      <c r="ET20" s="1114"/>
      <c r="EU20" s="1113"/>
      <c r="EV20" s="1113"/>
      <c r="EW20" s="1113"/>
      <c r="EX20" s="1113"/>
      <c r="EY20" s="1115"/>
    </row>
    <row r="21" spans="2:155" ht="12" customHeight="1" x14ac:dyDescent="0.2">
      <c r="B21" s="1097"/>
      <c r="C21" s="1098"/>
      <c r="D21" s="1542"/>
      <c r="E21" s="1543"/>
      <c r="F21" s="1543"/>
      <c r="G21" s="1544"/>
      <c r="H21" s="1100"/>
      <c r="I21" s="1098"/>
      <c r="J21" s="1098"/>
      <c r="K21" s="1098"/>
      <c r="L21" s="1098"/>
      <c r="M21" s="1098"/>
      <c r="N21" s="1098"/>
      <c r="O21" s="1098"/>
      <c r="P21" s="1098"/>
      <c r="Q21" s="1098"/>
      <c r="R21" s="1098"/>
      <c r="S21" s="1098"/>
      <c r="T21" s="1098"/>
      <c r="U21" s="1098"/>
      <c r="V21" s="1100"/>
      <c r="W21" s="1098"/>
      <c r="X21" s="1098"/>
      <c r="Y21" s="1098"/>
      <c r="Z21" s="1098"/>
      <c r="AA21" s="1098"/>
      <c r="AB21" s="1098"/>
      <c r="AC21" s="1098"/>
      <c r="AD21" s="1098"/>
      <c r="AE21" s="1098"/>
      <c r="AF21" s="1098"/>
      <c r="AG21" s="1100"/>
      <c r="AH21" s="1098"/>
      <c r="AI21" s="1098"/>
      <c r="AJ21" s="1098"/>
      <c r="AK21" s="1098"/>
      <c r="AL21" s="1111"/>
      <c r="AO21" s="1097"/>
      <c r="AP21" s="1098"/>
      <c r="AQ21" s="1542"/>
      <c r="AR21" s="1543"/>
      <c r="AS21" s="1543"/>
      <c r="AT21" s="1544"/>
      <c r="AU21" s="1100"/>
      <c r="AV21" s="1098"/>
      <c r="AW21" s="1098"/>
      <c r="AX21" s="1098"/>
      <c r="AY21" s="1098"/>
      <c r="AZ21" s="1098"/>
      <c r="BA21" s="1098"/>
      <c r="BB21" s="1098"/>
      <c r="BC21" s="1098"/>
      <c r="BD21" s="1098"/>
      <c r="BE21" s="1098"/>
      <c r="BF21" s="1098"/>
      <c r="BG21" s="1098"/>
      <c r="BH21" s="1098"/>
      <c r="BI21" s="1100"/>
      <c r="BJ21" s="1098"/>
      <c r="BK21" s="1098"/>
      <c r="BL21" s="1098"/>
      <c r="BM21" s="1098"/>
      <c r="BN21" s="1098"/>
      <c r="BO21" s="1098"/>
      <c r="BP21" s="1098"/>
      <c r="BQ21" s="1098"/>
      <c r="BR21" s="1098"/>
      <c r="BS21" s="1098"/>
      <c r="BT21" s="1100"/>
      <c r="BU21" s="1098"/>
      <c r="BV21" s="1098"/>
      <c r="BW21" s="1098"/>
      <c r="BX21" s="1098"/>
      <c r="BY21" s="1111"/>
      <c r="CB21" s="1097"/>
      <c r="CC21" s="1098"/>
      <c r="CD21" s="1542"/>
      <c r="CE21" s="1543"/>
      <c r="CF21" s="1543"/>
      <c r="CG21" s="1544"/>
      <c r="CH21" s="1100"/>
      <c r="CI21" s="1098"/>
      <c r="CJ21" s="1098"/>
      <c r="CK21" s="1098"/>
      <c r="CL21" s="1098"/>
      <c r="CM21" s="1098"/>
      <c r="CN21" s="1098"/>
      <c r="CO21" s="1098"/>
      <c r="CP21" s="1098"/>
      <c r="CQ21" s="1098"/>
      <c r="CR21" s="1098"/>
      <c r="CS21" s="1098"/>
      <c r="CT21" s="1098"/>
      <c r="CU21" s="1098"/>
      <c r="CV21" s="1100"/>
      <c r="CW21" s="1098"/>
      <c r="CX21" s="1098"/>
      <c r="CY21" s="1098"/>
      <c r="CZ21" s="1098"/>
      <c r="DA21" s="1098"/>
      <c r="DB21" s="1098"/>
      <c r="DC21" s="1098"/>
      <c r="DD21" s="1098"/>
      <c r="DE21" s="1098"/>
      <c r="DF21" s="1098"/>
      <c r="DG21" s="1100"/>
      <c r="DH21" s="1098"/>
      <c r="DI21" s="1098"/>
      <c r="DJ21" s="1098"/>
      <c r="DK21" s="1098"/>
      <c r="DL21" s="1111"/>
      <c r="DO21" s="1097"/>
      <c r="DP21" s="1098"/>
      <c r="DQ21" s="1542"/>
      <c r="DR21" s="1543"/>
      <c r="DS21" s="1543"/>
      <c r="DT21" s="1544"/>
      <c r="DU21" s="1100"/>
      <c r="DV21" s="1098"/>
      <c r="DW21" s="1098"/>
      <c r="DX21" s="1098"/>
      <c r="DY21" s="1098"/>
      <c r="DZ21" s="1098"/>
      <c r="EA21" s="1098"/>
      <c r="EB21" s="1098"/>
      <c r="EC21" s="1098"/>
      <c r="ED21" s="1098"/>
      <c r="EE21" s="1098"/>
      <c r="EF21" s="1098"/>
      <c r="EG21" s="1098"/>
      <c r="EH21" s="1098"/>
      <c r="EI21" s="1100"/>
      <c r="EJ21" s="1098"/>
      <c r="EK21" s="1098"/>
      <c r="EL21" s="1098"/>
      <c r="EM21" s="1098"/>
      <c r="EN21" s="1098"/>
      <c r="EO21" s="1098"/>
      <c r="EP21" s="1098"/>
      <c r="EQ21" s="1098"/>
      <c r="ER21" s="1098"/>
      <c r="ES21" s="1098"/>
      <c r="ET21" s="1100"/>
      <c r="EU21" s="1098"/>
      <c r="EV21" s="1098"/>
      <c r="EW21" s="1098"/>
      <c r="EX21" s="1098"/>
      <c r="EY21" s="1111"/>
    </row>
    <row r="22" spans="2:155" ht="12" customHeight="1" x14ac:dyDescent="0.2">
      <c r="B22" s="1112"/>
      <c r="C22" s="1113"/>
      <c r="D22" s="1539"/>
      <c r="E22" s="1540"/>
      <c r="F22" s="1540"/>
      <c r="G22" s="1541"/>
      <c r="H22" s="1114"/>
      <c r="I22" s="1113"/>
      <c r="J22" s="1113"/>
      <c r="K22" s="1113"/>
      <c r="L22" s="1113"/>
      <c r="M22" s="1113"/>
      <c r="N22" s="1113"/>
      <c r="O22" s="1113"/>
      <c r="P22" s="1113"/>
      <c r="Q22" s="1113"/>
      <c r="R22" s="1113"/>
      <c r="S22" s="1113"/>
      <c r="T22" s="1113"/>
      <c r="U22" s="1113"/>
      <c r="V22" s="1114"/>
      <c r="W22" s="1113"/>
      <c r="X22" s="1113"/>
      <c r="Y22" s="1113"/>
      <c r="Z22" s="1113"/>
      <c r="AA22" s="1113"/>
      <c r="AB22" s="1113"/>
      <c r="AC22" s="1113"/>
      <c r="AD22" s="1113"/>
      <c r="AE22" s="1113"/>
      <c r="AF22" s="1113"/>
      <c r="AG22" s="1114"/>
      <c r="AH22" s="1113"/>
      <c r="AI22" s="1113"/>
      <c r="AJ22" s="1113"/>
      <c r="AK22" s="1113"/>
      <c r="AL22" s="1115"/>
      <c r="AO22" s="1112"/>
      <c r="AP22" s="1113"/>
      <c r="AQ22" s="1539"/>
      <c r="AR22" s="1540"/>
      <c r="AS22" s="1540"/>
      <c r="AT22" s="1541"/>
      <c r="AU22" s="1114"/>
      <c r="AV22" s="1113"/>
      <c r="AW22" s="1113"/>
      <c r="AX22" s="1113"/>
      <c r="AY22" s="1113"/>
      <c r="AZ22" s="1113"/>
      <c r="BA22" s="1113"/>
      <c r="BB22" s="1113"/>
      <c r="BC22" s="1113"/>
      <c r="BD22" s="1113"/>
      <c r="BE22" s="1113"/>
      <c r="BF22" s="1113"/>
      <c r="BG22" s="1113"/>
      <c r="BH22" s="1113"/>
      <c r="BI22" s="1114"/>
      <c r="BJ22" s="1113"/>
      <c r="BK22" s="1113"/>
      <c r="BL22" s="1113"/>
      <c r="BM22" s="1113"/>
      <c r="BN22" s="1113"/>
      <c r="BO22" s="1113"/>
      <c r="BP22" s="1113"/>
      <c r="BQ22" s="1113"/>
      <c r="BR22" s="1113"/>
      <c r="BS22" s="1113"/>
      <c r="BT22" s="1114"/>
      <c r="BU22" s="1113"/>
      <c r="BV22" s="1113"/>
      <c r="BW22" s="1113"/>
      <c r="BX22" s="1113"/>
      <c r="BY22" s="1115"/>
      <c r="CB22" s="1112"/>
      <c r="CC22" s="1113"/>
      <c r="CD22" s="1539"/>
      <c r="CE22" s="1540"/>
      <c r="CF22" s="1540"/>
      <c r="CG22" s="1541"/>
      <c r="CH22" s="1114"/>
      <c r="CI22" s="1113"/>
      <c r="CJ22" s="1113"/>
      <c r="CK22" s="1113"/>
      <c r="CL22" s="1113"/>
      <c r="CM22" s="1113"/>
      <c r="CN22" s="1113"/>
      <c r="CO22" s="1113"/>
      <c r="CP22" s="1113"/>
      <c r="CQ22" s="1113"/>
      <c r="CR22" s="1113"/>
      <c r="CS22" s="1113"/>
      <c r="CT22" s="1113"/>
      <c r="CU22" s="1113"/>
      <c r="CV22" s="1114"/>
      <c r="CW22" s="1113"/>
      <c r="CX22" s="1113"/>
      <c r="CY22" s="1113"/>
      <c r="CZ22" s="1113"/>
      <c r="DA22" s="1113"/>
      <c r="DB22" s="1113"/>
      <c r="DC22" s="1113"/>
      <c r="DD22" s="1113"/>
      <c r="DE22" s="1113"/>
      <c r="DF22" s="1113"/>
      <c r="DG22" s="1114"/>
      <c r="DH22" s="1113"/>
      <c r="DI22" s="1113"/>
      <c r="DJ22" s="1113"/>
      <c r="DK22" s="1113"/>
      <c r="DL22" s="1115"/>
      <c r="DO22" s="1112"/>
      <c r="DP22" s="1113"/>
      <c r="DQ22" s="1539"/>
      <c r="DR22" s="1540"/>
      <c r="DS22" s="1540"/>
      <c r="DT22" s="1541"/>
      <c r="DU22" s="1114"/>
      <c r="DV22" s="1113"/>
      <c r="DW22" s="1113"/>
      <c r="DX22" s="1113"/>
      <c r="DY22" s="1113"/>
      <c r="DZ22" s="1113"/>
      <c r="EA22" s="1113"/>
      <c r="EB22" s="1113"/>
      <c r="EC22" s="1113"/>
      <c r="ED22" s="1113"/>
      <c r="EE22" s="1113"/>
      <c r="EF22" s="1113"/>
      <c r="EG22" s="1113"/>
      <c r="EH22" s="1113"/>
      <c r="EI22" s="1114"/>
      <c r="EJ22" s="1113"/>
      <c r="EK22" s="1113"/>
      <c r="EL22" s="1113"/>
      <c r="EM22" s="1113"/>
      <c r="EN22" s="1113"/>
      <c r="EO22" s="1113"/>
      <c r="EP22" s="1113"/>
      <c r="EQ22" s="1113"/>
      <c r="ER22" s="1113"/>
      <c r="ES22" s="1113"/>
      <c r="ET22" s="1114"/>
      <c r="EU22" s="1113"/>
      <c r="EV22" s="1113"/>
      <c r="EW22" s="1113"/>
      <c r="EX22" s="1113"/>
      <c r="EY22" s="1115"/>
    </row>
    <row r="23" spans="2:155" ht="12" customHeight="1" x14ac:dyDescent="0.2">
      <c r="B23" s="1097"/>
      <c r="C23" s="1098"/>
      <c r="D23" s="1542"/>
      <c r="E23" s="1543"/>
      <c r="F23" s="1543"/>
      <c r="G23" s="1544"/>
      <c r="H23" s="1100"/>
      <c r="I23" s="1098"/>
      <c r="J23" s="1098"/>
      <c r="K23" s="1098"/>
      <c r="L23" s="1098"/>
      <c r="M23" s="1098"/>
      <c r="N23" s="1098"/>
      <c r="O23" s="1098"/>
      <c r="P23" s="1098"/>
      <c r="Q23" s="1098"/>
      <c r="R23" s="1098"/>
      <c r="S23" s="1098"/>
      <c r="T23" s="1098"/>
      <c r="U23" s="1098"/>
      <c r="V23" s="1100"/>
      <c r="W23" s="1098"/>
      <c r="X23" s="1098"/>
      <c r="Y23" s="1098"/>
      <c r="Z23" s="1098"/>
      <c r="AA23" s="1098"/>
      <c r="AB23" s="1098"/>
      <c r="AC23" s="1098"/>
      <c r="AD23" s="1098"/>
      <c r="AE23" s="1098"/>
      <c r="AF23" s="1098"/>
      <c r="AG23" s="1100"/>
      <c r="AH23" s="1098"/>
      <c r="AI23" s="1098"/>
      <c r="AJ23" s="1098"/>
      <c r="AK23" s="1098"/>
      <c r="AL23" s="1111"/>
      <c r="AO23" s="1097"/>
      <c r="AP23" s="1098"/>
      <c r="AQ23" s="1542"/>
      <c r="AR23" s="1543"/>
      <c r="AS23" s="1543"/>
      <c r="AT23" s="1544"/>
      <c r="AU23" s="1100"/>
      <c r="AV23" s="1098"/>
      <c r="AW23" s="1098"/>
      <c r="AX23" s="1098"/>
      <c r="AY23" s="1098"/>
      <c r="AZ23" s="1098"/>
      <c r="BA23" s="1098"/>
      <c r="BB23" s="1098"/>
      <c r="BC23" s="1098"/>
      <c r="BD23" s="1098"/>
      <c r="BE23" s="1098"/>
      <c r="BF23" s="1098"/>
      <c r="BG23" s="1098"/>
      <c r="BH23" s="1098"/>
      <c r="BI23" s="1100"/>
      <c r="BJ23" s="1098"/>
      <c r="BK23" s="1098"/>
      <c r="BL23" s="1098"/>
      <c r="BM23" s="1098"/>
      <c r="BN23" s="1098"/>
      <c r="BO23" s="1098"/>
      <c r="BP23" s="1098"/>
      <c r="BQ23" s="1098"/>
      <c r="BR23" s="1098"/>
      <c r="BS23" s="1098"/>
      <c r="BT23" s="1100"/>
      <c r="BU23" s="1098"/>
      <c r="BV23" s="1098"/>
      <c r="BW23" s="1098"/>
      <c r="BX23" s="1098"/>
      <c r="BY23" s="1111"/>
      <c r="CB23" s="1097"/>
      <c r="CC23" s="1098"/>
      <c r="CD23" s="1542"/>
      <c r="CE23" s="1543"/>
      <c r="CF23" s="1543"/>
      <c r="CG23" s="1544"/>
      <c r="CH23" s="1100"/>
      <c r="CI23" s="1098"/>
      <c r="CJ23" s="1098"/>
      <c r="CK23" s="1098"/>
      <c r="CL23" s="1098"/>
      <c r="CM23" s="1098"/>
      <c r="CN23" s="1098"/>
      <c r="CO23" s="1098"/>
      <c r="CP23" s="1098"/>
      <c r="CQ23" s="1098"/>
      <c r="CR23" s="1098"/>
      <c r="CS23" s="1098"/>
      <c r="CT23" s="1098"/>
      <c r="CU23" s="1098"/>
      <c r="CV23" s="1100"/>
      <c r="CW23" s="1098"/>
      <c r="CX23" s="1098"/>
      <c r="CY23" s="1098"/>
      <c r="CZ23" s="1098"/>
      <c r="DA23" s="1098"/>
      <c r="DB23" s="1098"/>
      <c r="DC23" s="1098"/>
      <c r="DD23" s="1098"/>
      <c r="DE23" s="1098"/>
      <c r="DF23" s="1098"/>
      <c r="DG23" s="1100"/>
      <c r="DH23" s="1098"/>
      <c r="DI23" s="1098"/>
      <c r="DJ23" s="1098"/>
      <c r="DK23" s="1098"/>
      <c r="DL23" s="1111"/>
      <c r="DO23" s="1097"/>
      <c r="DP23" s="1098"/>
      <c r="DQ23" s="1542"/>
      <c r="DR23" s="1543"/>
      <c r="DS23" s="1543"/>
      <c r="DT23" s="1544"/>
      <c r="DU23" s="1100"/>
      <c r="DV23" s="1098"/>
      <c r="DW23" s="1098"/>
      <c r="DX23" s="1098"/>
      <c r="DY23" s="1098"/>
      <c r="DZ23" s="1098"/>
      <c r="EA23" s="1098"/>
      <c r="EB23" s="1098"/>
      <c r="EC23" s="1098"/>
      <c r="ED23" s="1098"/>
      <c r="EE23" s="1098"/>
      <c r="EF23" s="1098"/>
      <c r="EG23" s="1098"/>
      <c r="EH23" s="1098"/>
      <c r="EI23" s="1100"/>
      <c r="EJ23" s="1098"/>
      <c r="EK23" s="1098"/>
      <c r="EL23" s="1098"/>
      <c r="EM23" s="1098"/>
      <c r="EN23" s="1098"/>
      <c r="EO23" s="1098"/>
      <c r="EP23" s="1098"/>
      <c r="EQ23" s="1098"/>
      <c r="ER23" s="1098"/>
      <c r="ES23" s="1098"/>
      <c r="ET23" s="1100"/>
      <c r="EU23" s="1098"/>
      <c r="EV23" s="1098"/>
      <c r="EW23" s="1098"/>
      <c r="EX23" s="1098"/>
      <c r="EY23" s="1111"/>
    </row>
    <row r="24" spans="2:155" ht="12" customHeight="1" x14ac:dyDescent="0.2">
      <c r="B24" s="1112"/>
      <c r="C24" s="1113"/>
      <c r="D24" s="1539"/>
      <c r="E24" s="1540"/>
      <c r="F24" s="1540"/>
      <c r="G24" s="1541"/>
      <c r="H24" s="1114"/>
      <c r="I24" s="1113"/>
      <c r="J24" s="1113"/>
      <c r="K24" s="1113"/>
      <c r="L24" s="1113"/>
      <c r="M24" s="1113"/>
      <c r="N24" s="1113"/>
      <c r="O24" s="1113"/>
      <c r="P24" s="1113"/>
      <c r="Q24" s="1113"/>
      <c r="R24" s="1113"/>
      <c r="S24" s="1113"/>
      <c r="T24" s="1113"/>
      <c r="U24" s="1113"/>
      <c r="V24" s="1114"/>
      <c r="W24" s="1113"/>
      <c r="X24" s="1113"/>
      <c r="Y24" s="1113"/>
      <c r="Z24" s="1113"/>
      <c r="AA24" s="1113"/>
      <c r="AB24" s="1113"/>
      <c r="AC24" s="1113"/>
      <c r="AD24" s="1113"/>
      <c r="AE24" s="1113"/>
      <c r="AF24" s="1113"/>
      <c r="AG24" s="1114"/>
      <c r="AH24" s="1113"/>
      <c r="AI24" s="1113"/>
      <c r="AJ24" s="1113"/>
      <c r="AK24" s="1113"/>
      <c r="AL24" s="1115"/>
      <c r="AO24" s="1112"/>
      <c r="AP24" s="1113"/>
      <c r="AQ24" s="1539"/>
      <c r="AR24" s="1540"/>
      <c r="AS24" s="1540"/>
      <c r="AT24" s="1541"/>
      <c r="AU24" s="1114"/>
      <c r="AV24" s="1113"/>
      <c r="AW24" s="1113"/>
      <c r="AX24" s="1113"/>
      <c r="AY24" s="1113"/>
      <c r="AZ24" s="1113"/>
      <c r="BA24" s="1113"/>
      <c r="BB24" s="1113"/>
      <c r="BC24" s="1113"/>
      <c r="BD24" s="1113"/>
      <c r="BE24" s="1113"/>
      <c r="BF24" s="1113"/>
      <c r="BG24" s="1113"/>
      <c r="BH24" s="1113"/>
      <c r="BI24" s="1114"/>
      <c r="BJ24" s="1113"/>
      <c r="BK24" s="1113"/>
      <c r="BL24" s="1113"/>
      <c r="BM24" s="1113"/>
      <c r="BN24" s="1113"/>
      <c r="BO24" s="1113"/>
      <c r="BP24" s="1113"/>
      <c r="BQ24" s="1113"/>
      <c r="BR24" s="1113"/>
      <c r="BS24" s="1113"/>
      <c r="BT24" s="1114"/>
      <c r="BU24" s="1113"/>
      <c r="BV24" s="1113"/>
      <c r="BW24" s="1113"/>
      <c r="BX24" s="1113"/>
      <c r="BY24" s="1115"/>
      <c r="CB24" s="1112"/>
      <c r="CC24" s="1113"/>
      <c r="CD24" s="1539"/>
      <c r="CE24" s="1540"/>
      <c r="CF24" s="1540"/>
      <c r="CG24" s="1541"/>
      <c r="CH24" s="1114"/>
      <c r="CI24" s="1113"/>
      <c r="CJ24" s="1113"/>
      <c r="CK24" s="1113"/>
      <c r="CL24" s="1113"/>
      <c r="CM24" s="1113"/>
      <c r="CN24" s="1113"/>
      <c r="CO24" s="1113"/>
      <c r="CP24" s="1113"/>
      <c r="CQ24" s="1113"/>
      <c r="CR24" s="1113"/>
      <c r="CS24" s="1113"/>
      <c r="CT24" s="1113"/>
      <c r="CU24" s="1113"/>
      <c r="CV24" s="1114"/>
      <c r="CW24" s="1113"/>
      <c r="CX24" s="1113"/>
      <c r="CY24" s="1113"/>
      <c r="CZ24" s="1113"/>
      <c r="DA24" s="1113"/>
      <c r="DB24" s="1113"/>
      <c r="DC24" s="1113"/>
      <c r="DD24" s="1113"/>
      <c r="DE24" s="1113"/>
      <c r="DF24" s="1113"/>
      <c r="DG24" s="1114"/>
      <c r="DH24" s="1113"/>
      <c r="DI24" s="1113"/>
      <c r="DJ24" s="1113"/>
      <c r="DK24" s="1113"/>
      <c r="DL24" s="1115"/>
      <c r="DO24" s="1112"/>
      <c r="DP24" s="1113"/>
      <c r="DQ24" s="1539"/>
      <c r="DR24" s="1540"/>
      <c r="DS24" s="1540"/>
      <c r="DT24" s="1541"/>
      <c r="DU24" s="1114"/>
      <c r="DV24" s="1113"/>
      <c r="DW24" s="1113"/>
      <c r="DX24" s="1113"/>
      <c r="DY24" s="1113"/>
      <c r="DZ24" s="1113"/>
      <c r="EA24" s="1113"/>
      <c r="EB24" s="1113"/>
      <c r="EC24" s="1113"/>
      <c r="ED24" s="1113"/>
      <c r="EE24" s="1113"/>
      <c r="EF24" s="1113"/>
      <c r="EG24" s="1113"/>
      <c r="EH24" s="1113"/>
      <c r="EI24" s="1114"/>
      <c r="EJ24" s="1113"/>
      <c r="EK24" s="1113"/>
      <c r="EL24" s="1113"/>
      <c r="EM24" s="1113"/>
      <c r="EN24" s="1113"/>
      <c r="EO24" s="1113"/>
      <c r="EP24" s="1113"/>
      <c r="EQ24" s="1113"/>
      <c r="ER24" s="1113"/>
      <c r="ES24" s="1113"/>
      <c r="ET24" s="1114"/>
      <c r="EU24" s="1113"/>
      <c r="EV24" s="1113"/>
      <c r="EW24" s="1113"/>
      <c r="EX24" s="1113"/>
      <c r="EY24" s="1115"/>
    </row>
    <row r="25" spans="2:155" ht="12" customHeight="1" x14ac:dyDescent="0.2">
      <c r="B25" s="1097"/>
      <c r="C25" s="1098"/>
      <c r="D25" s="1542"/>
      <c r="E25" s="1543"/>
      <c r="F25" s="1543"/>
      <c r="G25" s="1544"/>
      <c r="H25" s="1100"/>
      <c r="I25" s="1098"/>
      <c r="J25" s="1098"/>
      <c r="K25" s="1098"/>
      <c r="L25" s="1098"/>
      <c r="M25" s="1098"/>
      <c r="N25" s="1098"/>
      <c r="O25" s="1098"/>
      <c r="P25" s="1098"/>
      <c r="Q25" s="1098"/>
      <c r="R25" s="1098"/>
      <c r="S25" s="1098"/>
      <c r="T25" s="1098"/>
      <c r="U25" s="1098"/>
      <c r="V25" s="1100"/>
      <c r="W25" s="1098"/>
      <c r="X25" s="1098"/>
      <c r="Y25" s="1098"/>
      <c r="Z25" s="1098"/>
      <c r="AA25" s="1098"/>
      <c r="AB25" s="1098"/>
      <c r="AC25" s="1098"/>
      <c r="AD25" s="1098"/>
      <c r="AE25" s="1098"/>
      <c r="AF25" s="1098"/>
      <c r="AG25" s="1100"/>
      <c r="AH25" s="1098"/>
      <c r="AI25" s="1098"/>
      <c r="AJ25" s="1098"/>
      <c r="AK25" s="1098"/>
      <c r="AL25" s="1111"/>
      <c r="AO25" s="1097"/>
      <c r="AP25" s="1098"/>
      <c r="AQ25" s="1542"/>
      <c r="AR25" s="1543"/>
      <c r="AS25" s="1543"/>
      <c r="AT25" s="1544"/>
      <c r="AU25" s="1100"/>
      <c r="AV25" s="1098"/>
      <c r="AW25" s="1098"/>
      <c r="AX25" s="1098"/>
      <c r="AY25" s="1098"/>
      <c r="AZ25" s="1098"/>
      <c r="BA25" s="1098"/>
      <c r="BB25" s="1098"/>
      <c r="BC25" s="1098"/>
      <c r="BD25" s="1098"/>
      <c r="BE25" s="1098"/>
      <c r="BF25" s="1098"/>
      <c r="BG25" s="1098"/>
      <c r="BH25" s="1098"/>
      <c r="BI25" s="1100"/>
      <c r="BJ25" s="1098"/>
      <c r="BK25" s="1098"/>
      <c r="BL25" s="1098"/>
      <c r="BM25" s="1098"/>
      <c r="BN25" s="1098"/>
      <c r="BO25" s="1098"/>
      <c r="BP25" s="1098"/>
      <c r="BQ25" s="1098"/>
      <c r="BR25" s="1098"/>
      <c r="BS25" s="1098"/>
      <c r="BT25" s="1100"/>
      <c r="BU25" s="1098"/>
      <c r="BV25" s="1098"/>
      <c r="BW25" s="1098"/>
      <c r="BX25" s="1098"/>
      <c r="BY25" s="1111"/>
      <c r="CB25" s="1097"/>
      <c r="CC25" s="1098"/>
      <c r="CD25" s="1542"/>
      <c r="CE25" s="1543"/>
      <c r="CF25" s="1543"/>
      <c r="CG25" s="1544"/>
      <c r="CH25" s="1100"/>
      <c r="CI25" s="1098"/>
      <c r="CJ25" s="1098"/>
      <c r="CK25" s="1098"/>
      <c r="CL25" s="1098"/>
      <c r="CM25" s="1098"/>
      <c r="CN25" s="1098"/>
      <c r="CO25" s="1098"/>
      <c r="CP25" s="1098"/>
      <c r="CQ25" s="1098"/>
      <c r="CR25" s="1098"/>
      <c r="CS25" s="1098"/>
      <c r="CT25" s="1098"/>
      <c r="CU25" s="1098"/>
      <c r="CV25" s="1100"/>
      <c r="CW25" s="1098"/>
      <c r="CX25" s="1098"/>
      <c r="CY25" s="1098"/>
      <c r="CZ25" s="1098"/>
      <c r="DA25" s="1098"/>
      <c r="DB25" s="1098"/>
      <c r="DC25" s="1098"/>
      <c r="DD25" s="1098"/>
      <c r="DE25" s="1098"/>
      <c r="DF25" s="1098"/>
      <c r="DG25" s="1100"/>
      <c r="DH25" s="1098"/>
      <c r="DI25" s="1098"/>
      <c r="DJ25" s="1098"/>
      <c r="DK25" s="1098"/>
      <c r="DL25" s="1111"/>
      <c r="DO25" s="1097"/>
      <c r="DP25" s="1098"/>
      <c r="DQ25" s="1542"/>
      <c r="DR25" s="1543"/>
      <c r="DS25" s="1543"/>
      <c r="DT25" s="1544"/>
      <c r="DU25" s="1100"/>
      <c r="DV25" s="1098"/>
      <c r="DW25" s="1098"/>
      <c r="DX25" s="1098"/>
      <c r="DY25" s="1098"/>
      <c r="DZ25" s="1098"/>
      <c r="EA25" s="1098"/>
      <c r="EB25" s="1098"/>
      <c r="EC25" s="1098"/>
      <c r="ED25" s="1098"/>
      <c r="EE25" s="1098"/>
      <c r="EF25" s="1098"/>
      <c r="EG25" s="1098"/>
      <c r="EH25" s="1098"/>
      <c r="EI25" s="1100"/>
      <c r="EJ25" s="1098"/>
      <c r="EK25" s="1098"/>
      <c r="EL25" s="1098"/>
      <c r="EM25" s="1098"/>
      <c r="EN25" s="1098"/>
      <c r="EO25" s="1098"/>
      <c r="EP25" s="1098"/>
      <c r="EQ25" s="1098"/>
      <c r="ER25" s="1098"/>
      <c r="ES25" s="1098"/>
      <c r="ET25" s="1100"/>
      <c r="EU25" s="1098"/>
      <c r="EV25" s="1098"/>
      <c r="EW25" s="1098"/>
      <c r="EX25" s="1098"/>
      <c r="EY25" s="1111"/>
    </row>
    <row r="26" spans="2:155" ht="12" customHeight="1" x14ac:dyDescent="0.2">
      <c r="B26" s="1112"/>
      <c r="C26" s="1113"/>
      <c r="D26" s="1539"/>
      <c r="E26" s="1540"/>
      <c r="F26" s="1540"/>
      <c r="G26" s="1541"/>
      <c r="H26" s="1114"/>
      <c r="I26" s="1113"/>
      <c r="J26" s="1113"/>
      <c r="K26" s="1113"/>
      <c r="L26" s="1113"/>
      <c r="M26" s="1113"/>
      <c r="N26" s="1113"/>
      <c r="O26" s="1113"/>
      <c r="P26" s="1113"/>
      <c r="Q26" s="1113"/>
      <c r="R26" s="1113"/>
      <c r="S26" s="1113"/>
      <c r="T26" s="1113"/>
      <c r="U26" s="1113"/>
      <c r="V26" s="1114"/>
      <c r="W26" s="1113"/>
      <c r="X26" s="1113"/>
      <c r="Y26" s="1113"/>
      <c r="Z26" s="1113"/>
      <c r="AA26" s="1113"/>
      <c r="AB26" s="1113"/>
      <c r="AC26" s="1113"/>
      <c r="AD26" s="1113"/>
      <c r="AE26" s="1113"/>
      <c r="AF26" s="1113"/>
      <c r="AG26" s="1114"/>
      <c r="AH26" s="1113"/>
      <c r="AI26" s="1113"/>
      <c r="AJ26" s="1113"/>
      <c r="AK26" s="1113"/>
      <c r="AL26" s="1115"/>
      <c r="AO26" s="1112"/>
      <c r="AP26" s="1113"/>
      <c r="AQ26" s="1539"/>
      <c r="AR26" s="1540"/>
      <c r="AS26" s="1540"/>
      <c r="AT26" s="1541"/>
      <c r="AU26" s="1114"/>
      <c r="AV26" s="1113"/>
      <c r="AW26" s="1113"/>
      <c r="AX26" s="1113"/>
      <c r="AY26" s="1113"/>
      <c r="AZ26" s="1113"/>
      <c r="BA26" s="1113"/>
      <c r="BB26" s="1113"/>
      <c r="BC26" s="1113"/>
      <c r="BD26" s="1113"/>
      <c r="BE26" s="1113"/>
      <c r="BF26" s="1113"/>
      <c r="BG26" s="1113"/>
      <c r="BH26" s="1113"/>
      <c r="BI26" s="1114"/>
      <c r="BJ26" s="1113"/>
      <c r="BK26" s="1113"/>
      <c r="BL26" s="1113"/>
      <c r="BM26" s="1113"/>
      <c r="BN26" s="1113"/>
      <c r="BO26" s="1113"/>
      <c r="BP26" s="1113"/>
      <c r="BQ26" s="1113"/>
      <c r="BR26" s="1113"/>
      <c r="BS26" s="1113"/>
      <c r="BT26" s="1114"/>
      <c r="BU26" s="1113"/>
      <c r="BV26" s="1113"/>
      <c r="BW26" s="1113"/>
      <c r="BX26" s="1113"/>
      <c r="BY26" s="1115"/>
      <c r="CB26" s="1112"/>
      <c r="CC26" s="1113"/>
      <c r="CD26" s="1539"/>
      <c r="CE26" s="1540"/>
      <c r="CF26" s="1540"/>
      <c r="CG26" s="1541"/>
      <c r="CH26" s="1114"/>
      <c r="CI26" s="1113"/>
      <c r="CJ26" s="1113"/>
      <c r="CK26" s="1113"/>
      <c r="CL26" s="1113"/>
      <c r="CM26" s="1113"/>
      <c r="CN26" s="1113"/>
      <c r="CO26" s="1113"/>
      <c r="CP26" s="1113"/>
      <c r="CQ26" s="1113"/>
      <c r="CR26" s="1113"/>
      <c r="CS26" s="1113"/>
      <c r="CT26" s="1113"/>
      <c r="CU26" s="1113"/>
      <c r="CV26" s="1114"/>
      <c r="CW26" s="1113"/>
      <c r="CX26" s="1113"/>
      <c r="CY26" s="1113"/>
      <c r="CZ26" s="1113"/>
      <c r="DA26" s="1113"/>
      <c r="DB26" s="1113"/>
      <c r="DC26" s="1113"/>
      <c r="DD26" s="1113"/>
      <c r="DE26" s="1113"/>
      <c r="DF26" s="1113"/>
      <c r="DG26" s="1114"/>
      <c r="DH26" s="1113"/>
      <c r="DI26" s="1113"/>
      <c r="DJ26" s="1113"/>
      <c r="DK26" s="1113"/>
      <c r="DL26" s="1115"/>
      <c r="DO26" s="1112"/>
      <c r="DP26" s="1113"/>
      <c r="DQ26" s="1539"/>
      <c r="DR26" s="1540"/>
      <c r="DS26" s="1540"/>
      <c r="DT26" s="1541"/>
      <c r="DU26" s="1114"/>
      <c r="DV26" s="1113"/>
      <c r="DW26" s="1113"/>
      <c r="DX26" s="1113"/>
      <c r="DY26" s="1113"/>
      <c r="DZ26" s="1113"/>
      <c r="EA26" s="1113"/>
      <c r="EB26" s="1113"/>
      <c r="EC26" s="1113"/>
      <c r="ED26" s="1113"/>
      <c r="EE26" s="1113"/>
      <c r="EF26" s="1113"/>
      <c r="EG26" s="1113"/>
      <c r="EH26" s="1113"/>
      <c r="EI26" s="1114"/>
      <c r="EJ26" s="1113"/>
      <c r="EK26" s="1113"/>
      <c r="EL26" s="1113"/>
      <c r="EM26" s="1113"/>
      <c r="EN26" s="1113"/>
      <c r="EO26" s="1113"/>
      <c r="EP26" s="1113"/>
      <c r="EQ26" s="1113"/>
      <c r="ER26" s="1113"/>
      <c r="ES26" s="1113"/>
      <c r="ET26" s="1114"/>
      <c r="EU26" s="1113"/>
      <c r="EV26" s="1113"/>
      <c r="EW26" s="1113"/>
      <c r="EX26" s="1113"/>
      <c r="EY26" s="1115"/>
    </row>
    <row r="27" spans="2:155" ht="12" customHeight="1" x14ac:dyDescent="0.2">
      <c r="B27" s="1097"/>
      <c r="C27" s="1098"/>
      <c r="D27" s="1542"/>
      <c r="E27" s="1543"/>
      <c r="F27" s="1543"/>
      <c r="G27" s="1544"/>
      <c r="H27" s="1100"/>
      <c r="I27" s="1098"/>
      <c r="J27" s="1098"/>
      <c r="K27" s="1098"/>
      <c r="L27" s="1098"/>
      <c r="M27" s="1098"/>
      <c r="N27" s="1098"/>
      <c r="O27" s="1098"/>
      <c r="P27" s="1098"/>
      <c r="Q27" s="1098"/>
      <c r="R27" s="1098"/>
      <c r="S27" s="1098"/>
      <c r="T27" s="1098"/>
      <c r="U27" s="1098"/>
      <c r="V27" s="1100"/>
      <c r="W27" s="1098"/>
      <c r="X27" s="1098"/>
      <c r="Y27" s="1098"/>
      <c r="Z27" s="1098"/>
      <c r="AA27" s="1098"/>
      <c r="AB27" s="1098"/>
      <c r="AC27" s="1098"/>
      <c r="AD27" s="1098"/>
      <c r="AE27" s="1098"/>
      <c r="AF27" s="1098"/>
      <c r="AG27" s="1100"/>
      <c r="AH27" s="1098"/>
      <c r="AI27" s="1098"/>
      <c r="AJ27" s="1098"/>
      <c r="AK27" s="1098"/>
      <c r="AL27" s="1111"/>
      <c r="AO27" s="1097"/>
      <c r="AP27" s="1098"/>
      <c r="AQ27" s="1542"/>
      <c r="AR27" s="1543"/>
      <c r="AS27" s="1543"/>
      <c r="AT27" s="1544"/>
      <c r="AU27" s="1100"/>
      <c r="AV27" s="1098"/>
      <c r="AW27" s="1098"/>
      <c r="AX27" s="1098"/>
      <c r="AY27" s="1098"/>
      <c r="AZ27" s="1098"/>
      <c r="BA27" s="1098"/>
      <c r="BB27" s="1098"/>
      <c r="BC27" s="1098"/>
      <c r="BD27" s="1098"/>
      <c r="BE27" s="1098"/>
      <c r="BF27" s="1098"/>
      <c r="BG27" s="1098"/>
      <c r="BH27" s="1098"/>
      <c r="BI27" s="1100"/>
      <c r="BJ27" s="1098"/>
      <c r="BK27" s="1098"/>
      <c r="BL27" s="1098"/>
      <c r="BM27" s="1098"/>
      <c r="BN27" s="1098"/>
      <c r="BO27" s="1098"/>
      <c r="BP27" s="1098"/>
      <c r="BQ27" s="1098"/>
      <c r="BR27" s="1098"/>
      <c r="BS27" s="1098"/>
      <c r="BT27" s="1100"/>
      <c r="BU27" s="1098"/>
      <c r="BV27" s="1098"/>
      <c r="BW27" s="1098"/>
      <c r="BX27" s="1098"/>
      <c r="BY27" s="1111"/>
      <c r="CB27" s="1097"/>
      <c r="CC27" s="1098"/>
      <c r="CD27" s="1542"/>
      <c r="CE27" s="1543"/>
      <c r="CF27" s="1543"/>
      <c r="CG27" s="1544"/>
      <c r="CH27" s="1100"/>
      <c r="CI27" s="1098"/>
      <c r="CJ27" s="1098"/>
      <c r="CK27" s="1098"/>
      <c r="CL27" s="1098"/>
      <c r="CM27" s="1098"/>
      <c r="CN27" s="1098"/>
      <c r="CO27" s="1098"/>
      <c r="CP27" s="1098"/>
      <c r="CQ27" s="1098"/>
      <c r="CR27" s="1098"/>
      <c r="CS27" s="1098"/>
      <c r="CT27" s="1098"/>
      <c r="CU27" s="1098"/>
      <c r="CV27" s="1100"/>
      <c r="CW27" s="1098"/>
      <c r="CX27" s="1098"/>
      <c r="CY27" s="1098"/>
      <c r="CZ27" s="1098"/>
      <c r="DA27" s="1098"/>
      <c r="DB27" s="1098"/>
      <c r="DC27" s="1098"/>
      <c r="DD27" s="1098"/>
      <c r="DE27" s="1098"/>
      <c r="DF27" s="1098"/>
      <c r="DG27" s="1100"/>
      <c r="DH27" s="1098"/>
      <c r="DI27" s="1098"/>
      <c r="DJ27" s="1098"/>
      <c r="DK27" s="1098"/>
      <c r="DL27" s="1111"/>
      <c r="DO27" s="1097"/>
      <c r="DP27" s="1098"/>
      <c r="DQ27" s="1542"/>
      <c r="DR27" s="1543"/>
      <c r="DS27" s="1543"/>
      <c r="DT27" s="1544"/>
      <c r="DU27" s="1100"/>
      <c r="DV27" s="1098"/>
      <c r="DW27" s="1098"/>
      <c r="DX27" s="1098"/>
      <c r="DY27" s="1098"/>
      <c r="DZ27" s="1098"/>
      <c r="EA27" s="1098"/>
      <c r="EB27" s="1098"/>
      <c r="EC27" s="1098"/>
      <c r="ED27" s="1098"/>
      <c r="EE27" s="1098"/>
      <c r="EF27" s="1098"/>
      <c r="EG27" s="1098"/>
      <c r="EH27" s="1098"/>
      <c r="EI27" s="1100"/>
      <c r="EJ27" s="1098"/>
      <c r="EK27" s="1098"/>
      <c r="EL27" s="1098"/>
      <c r="EM27" s="1098"/>
      <c r="EN27" s="1098"/>
      <c r="EO27" s="1098"/>
      <c r="EP27" s="1098"/>
      <c r="EQ27" s="1098"/>
      <c r="ER27" s="1098"/>
      <c r="ES27" s="1098"/>
      <c r="ET27" s="1100"/>
      <c r="EU27" s="1098"/>
      <c r="EV27" s="1098"/>
      <c r="EW27" s="1098"/>
      <c r="EX27" s="1098"/>
      <c r="EY27" s="1111"/>
    </row>
    <row r="28" spans="2:155" ht="12" customHeight="1" x14ac:dyDescent="0.2">
      <c r="B28" s="1112"/>
      <c r="C28" s="1113"/>
      <c r="D28" s="1539"/>
      <c r="E28" s="1540"/>
      <c r="F28" s="1540"/>
      <c r="G28" s="1541"/>
      <c r="H28" s="1114"/>
      <c r="I28" s="1113"/>
      <c r="J28" s="1113"/>
      <c r="K28" s="1113"/>
      <c r="L28" s="1113"/>
      <c r="M28" s="1113"/>
      <c r="N28" s="1113"/>
      <c r="O28" s="1113"/>
      <c r="P28" s="1113"/>
      <c r="Q28" s="1113"/>
      <c r="R28" s="1113"/>
      <c r="S28" s="1113"/>
      <c r="T28" s="1113"/>
      <c r="U28" s="1113"/>
      <c r="V28" s="1114"/>
      <c r="W28" s="1113"/>
      <c r="X28" s="1113"/>
      <c r="Y28" s="1113"/>
      <c r="Z28" s="1113"/>
      <c r="AA28" s="1113"/>
      <c r="AB28" s="1113"/>
      <c r="AC28" s="1113"/>
      <c r="AD28" s="1113"/>
      <c r="AE28" s="1113"/>
      <c r="AF28" s="1113"/>
      <c r="AG28" s="1114"/>
      <c r="AH28" s="1113"/>
      <c r="AI28" s="1113"/>
      <c r="AJ28" s="1113"/>
      <c r="AK28" s="1113"/>
      <c r="AL28" s="1115"/>
      <c r="AO28" s="1112"/>
      <c r="AP28" s="1113"/>
      <c r="AQ28" s="1539"/>
      <c r="AR28" s="1540"/>
      <c r="AS28" s="1540"/>
      <c r="AT28" s="1541"/>
      <c r="AU28" s="1114"/>
      <c r="AV28" s="1113"/>
      <c r="AW28" s="1113"/>
      <c r="AX28" s="1113"/>
      <c r="AY28" s="1113"/>
      <c r="AZ28" s="1113"/>
      <c r="BA28" s="1113"/>
      <c r="BB28" s="1113"/>
      <c r="BC28" s="1113"/>
      <c r="BD28" s="1113"/>
      <c r="BE28" s="1113"/>
      <c r="BF28" s="1113"/>
      <c r="BG28" s="1113"/>
      <c r="BH28" s="1113"/>
      <c r="BI28" s="1114"/>
      <c r="BJ28" s="1113"/>
      <c r="BK28" s="1113"/>
      <c r="BL28" s="1113"/>
      <c r="BM28" s="1113"/>
      <c r="BN28" s="1113"/>
      <c r="BO28" s="1113"/>
      <c r="BP28" s="1113"/>
      <c r="BQ28" s="1113"/>
      <c r="BR28" s="1113"/>
      <c r="BS28" s="1113"/>
      <c r="BT28" s="1114"/>
      <c r="BU28" s="1113"/>
      <c r="BV28" s="1113"/>
      <c r="BW28" s="1113"/>
      <c r="BX28" s="1113"/>
      <c r="BY28" s="1115"/>
      <c r="CB28" s="1112"/>
      <c r="CC28" s="1113"/>
      <c r="CD28" s="1539"/>
      <c r="CE28" s="1540"/>
      <c r="CF28" s="1540"/>
      <c r="CG28" s="1541"/>
      <c r="CH28" s="1114"/>
      <c r="CI28" s="1113"/>
      <c r="CJ28" s="1113"/>
      <c r="CK28" s="1113"/>
      <c r="CL28" s="1113"/>
      <c r="CM28" s="1113"/>
      <c r="CN28" s="1113"/>
      <c r="CO28" s="1113"/>
      <c r="CP28" s="1113"/>
      <c r="CQ28" s="1113"/>
      <c r="CR28" s="1113"/>
      <c r="CS28" s="1113"/>
      <c r="CT28" s="1113"/>
      <c r="CU28" s="1113"/>
      <c r="CV28" s="1114"/>
      <c r="CW28" s="1113"/>
      <c r="CX28" s="1113"/>
      <c r="CY28" s="1113"/>
      <c r="CZ28" s="1113"/>
      <c r="DA28" s="1113"/>
      <c r="DB28" s="1113"/>
      <c r="DC28" s="1113"/>
      <c r="DD28" s="1113"/>
      <c r="DE28" s="1113"/>
      <c r="DF28" s="1113"/>
      <c r="DG28" s="1114"/>
      <c r="DH28" s="1113"/>
      <c r="DI28" s="1113"/>
      <c r="DJ28" s="1113"/>
      <c r="DK28" s="1113"/>
      <c r="DL28" s="1115"/>
      <c r="DO28" s="1112"/>
      <c r="DP28" s="1113"/>
      <c r="DQ28" s="1539"/>
      <c r="DR28" s="1540"/>
      <c r="DS28" s="1540"/>
      <c r="DT28" s="1541"/>
      <c r="DU28" s="1114"/>
      <c r="DV28" s="1113"/>
      <c r="DW28" s="1113"/>
      <c r="DX28" s="1113"/>
      <c r="DY28" s="1113"/>
      <c r="DZ28" s="1113"/>
      <c r="EA28" s="1113"/>
      <c r="EB28" s="1113"/>
      <c r="EC28" s="1113"/>
      <c r="ED28" s="1113"/>
      <c r="EE28" s="1113"/>
      <c r="EF28" s="1113"/>
      <c r="EG28" s="1113"/>
      <c r="EH28" s="1113"/>
      <c r="EI28" s="1114"/>
      <c r="EJ28" s="1113"/>
      <c r="EK28" s="1113"/>
      <c r="EL28" s="1113"/>
      <c r="EM28" s="1113"/>
      <c r="EN28" s="1113"/>
      <c r="EO28" s="1113"/>
      <c r="EP28" s="1113"/>
      <c r="EQ28" s="1113"/>
      <c r="ER28" s="1113"/>
      <c r="ES28" s="1113"/>
      <c r="ET28" s="1114"/>
      <c r="EU28" s="1113"/>
      <c r="EV28" s="1113"/>
      <c r="EW28" s="1113"/>
      <c r="EX28" s="1113"/>
      <c r="EY28" s="1115"/>
    </row>
    <row r="29" spans="2:155" ht="12" customHeight="1" x14ac:dyDescent="0.2">
      <c r="B29" s="1097"/>
      <c r="C29" s="1098"/>
      <c r="D29" s="1542"/>
      <c r="E29" s="1543"/>
      <c r="F29" s="1543"/>
      <c r="G29" s="1544"/>
      <c r="H29" s="1100"/>
      <c r="I29" s="1098"/>
      <c r="J29" s="1098"/>
      <c r="K29" s="1098"/>
      <c r="L29" s="1098"/>
      <c r="M29" s="1098"/>
      <c r="N29" s="1098"/>
      <c r="O29" s="1098"/>
      <c r="P29" s="1098"/>
      <c r="Q29" s="1098"/>
      <c r="R29" s="1098"/>
      <c r="S29" s="1098"/>
      <c r="T29" s="1098"/>
      <c r="U29" s="1098"/>
      <c r="V29" s="1100"/>
      <c r="W29" s="1098"/>
      <c r="X29" s="1098"/>
      <c r="Y29" s="1098"/>
      <c r="Z29" s="1098"/>
      <c r="AA29" s="1098"/>
      <c r="AB29" s="1098"/>
      <c r="AC29" s="1098"/>
      <c r="AD29" s="1098"/>
      <c r="AE29" s="1098"/>
      <c r="AF29" s="1098"/>
      <c r="AG29" s="1100"/>
      <c r="AH29" s="1098"/>
      <c r="AI29" s="1098"/>
      <c r="AJ29" s="1098"/>
      <c r="AK29" s="1098"/>
      <c r="AL29" s="1111"/>
      <c r="AO29" s="1097"/>
      <c r="AP29" s="1098"/>
      <c r="AQ29" s="1542"/>
      <c r="AR29" s="1543"/>
      <c r="AS29" s="1543"/>
      <c r="AT29" s="1544"/>
      <c r="AU29" s="1100"/>
      <c r="AV29" s="1098"/>
      <c r="AW29" s="1098"/>
      <c r="AX29" s="1098"/>
      <c r="AY29" s="1098"/>
      <c r="AZ29" s="1098"/>
      <c r="BA29" s="1098"/>
      <c r="BB29" s="1098"/>
      <c r="BC29" s="1098"/>
      <c r="BD29" s="1098"/>
      <c r="BE29" s="1098"/>
      <c r="BF29" s="1098"/>
      <c r="BG29" s="1098"/>
      <c r="BH29" s="1098"/>
      <c r="BI29" s="1100"/>
      <c r="BJ29" s="1098"/>
      <c r="BK29" s="1098"/>
      <c r="BL29" s="1098"/>
      <c r="BM29" s="1098"/>
      <c r="BN29" s="1098"/>
      <c r="BO29" s="1098"/>
      <c r="BP29" s="1098"/>
      <c r="BQ29" s="1098"/>
      <c r="BR29" s="1098"/>
      <c r="BS29" s="1098"/>
      <c r="BT29" s="1100"/>
      <c r="BU29" s="1098"/>
      <c r="BV29" s="1098"/>
      <c r="BW29" s="1098"/>
      <c r="BX29" s="1098"/>
      <c r="BY29" s="1111"/>
      <c r="CB29" s="1097"/>
      <c r="CC29" s="1098"/>
      <c r="CD29" s="1542"/>
      <c r="CE29" s="1543"/>
      <c r="CF29" s="1543"/>
      <c r="CG29" s="1544"/>
      <c r="CH29" s="1100"/>
      <c r="CI29" s="1098"/>
      <c r="CJ29" s="1098"/>
      <c r="CK29" s="1098"/>
      <c r="CL29" s="1098"/>
      <c r="CM29" s="1098"/>
      <c r="CN29" s="1098"/>
      <c r="CO29" s="1098"/>
      <c r="CP29" s="1098"/>
      <c r="CQ29" s="1098"/>
      <c r="CR29" s="1098"/>
      <c r="CS29" s="1098"/>
      <c r="CT29" s="1098"/>
      <c r="CU29" s="1098"/>
      <c r="CV29" s="1100"/>
      <c r="CW29" s="1098"/>
      <c r="CX29" s="1098"/>
      <c r="CY29" s="1098"/>
      <c r="CZ29" s="1098"/>
      <c r="DA29" s="1098"/>
      <c r="DB29" s="1098"/>
      <c r="DC29" s="1098"/>
      <c r="DD29" s="1098"/>
      <c r="DE29" s="1098"/>
      <c r="DF29" s="1098"/>
      <c r="DG29" s="1100"/>
      <c r="DH29" s="1098"/>
      <c r="DI29" s="1098"/>
      <c r="DJ29" s="1098"/>
      <c r="DK29" s="1098"/>
      <c r="DL29" s="1111"/>
      <c r="DO29" s="1097"/>
      <c r="DP29" s="1098"/>
      <c r="DQ29" s="1542"/>
      <c r="DR29" s="1543"/>
      <c r="DS29" s="1543"/>
      <c r="DT29" s="1544"/>
      <c r="DU29" s="1100"/>
      <c r="DV29" s="1098"/>
      <c r="DW29" s="1098"/>
      <c r="DX29" s="1098"/>
      <c r="DY29" s="1098"/>
      <c r="DZ29" s="1098"/>
      <c r="EA29" s="1098"/>
      <c r="EB29" s="1098"/>
      <c r="EC29" s="1098"/>
      <c r="ED29" s="1098"/>
      <c r="EE29" s="1098"/>
      <c r="EF29" s="1098"/>
      <c r="EG29" s="1098"/>
      <c r="EH29" s="1098"/>
      <c r="EI29" s="1100"/>
      <c r="EJ29" s="1098"/>
      <c r="EK29" s="1098"/>
      <c r="EL29" s="1098"/>
      <c r="EM29" s="1098"/>
      <c r="EN29" s="1098"/>
      <c r="EO29" s="1098"/>
      <c r="EP29" s="1098"/>
      <c r="EQ29" s="1098"/>
      <c r="ER29" s="1098"/>
      <c r="ES29" s="1098"/>
      <c r="ET29" s="1100"/>
      <c r="EU29" s="1098"/>
      <c r="EV29" s="1098"/>
      <c r="EW29" s="1098"/>
      <c r="EX29" s="1098"/>
      <c r="EY29" s="1111"/>
    </row>
    <row r="30" spans="2:155" ht="12" customHeight="1" x14ac:dyDescent="0.2">
      <c r="B30" s="1112"/>
      <c r="C30" s="1113"/>
      <c r="D30" s="1539"/>
      <c r="E30" s="1540"/>
      <c r="F30" s="1540"/>
      <c r="G30" s="1541"/>
      <c r="H30" s="1114"/>
      <c r="I30" s="1113"/>
      <c r="J30" s="1113"/>
      <c r="K30" s="1113"/>
      <c r="L30" s="1113"/>
      <c r="M30" s="1113"/>
      <c r="N30" s="1113"/>
      <c r="O30" s="1113"/>
      <c r="P30" s="1113"/>
      <c r="Q30" s="1113"/>
      <c r="R30" s="1113"/>
      <c r="S30" s="1113"/>
      <c r="T30" s="1113"/>
      <c r="U30" s="1113"/>
      <c r="V30" s="1114"/>
      <c r="W30" s="1113"/>
      <c r="X30" s="1113"/>
      <c r="Y30" s="1113"/>
      <c r="Z30" s="1113"/>
      <c r="AA30" s="1113"/>
      <c r="AB30" s="1113"/>
      <c r="AC30" s="1113"/>
      <c r="AD30" s="1113"/>
      <c r="AE30" s="1113"/>
      <c r="AF30" s="1113"/>
      <c r="AG30" s="1114"/>
      <c r="AH30" s="1113"/>
      <c r="AI30" s="1113"/>
      <c r="AJ30" s="1113"/>
      <c r="AK30" s="1113"/>
      <c r="AL30" s="1115"/>
      <c r="AO30" s="1112"/>
      <c r="AP30" s="1113"/>
      <c r="AQ30" s="1539"/>
      <c r="AR30" s="1540"/>
      <c r="AS30" s="1540"/>
      <c r="AT30" s="1541"/>
      <c r="AU30" s="1114"/>
      <c r="AV30" s="1113"/>
      <c r="AW30" s="1113"/>
      <c r="AX30" s="1113"/>
      <c r="AY30" s="1113"/>
      <c r="AZ30" s="1113"/>
      <c r="BA30" s="1113"/>
      <c r="BB30" s="1113"/>
      <c r="BC30" s="1113"/>
      <c r="BD30" s="1113"/>
      <c r="BE30" s="1113"/>
      <c r="BF30" s="1113"/>
      <c r="BG30" s="1113"/>
      <c r="BH30" s="1113"/>
      <c r="BI30" s="1114"/>
      <c r="BJ30" s="1113"/>
      <c r="BK30" s="1113"/>
      <c r="BL30" s="1113"/>
      <c r="BM30" s="1113"/>
      <c r="BN30" s="1113"/>
      <c r="BO30" s="1113"/>
      <c r="BP30" s="1113"/>
      <c r="BQ30" s="1113"/>
      <c r="BR30" s="1113"/>
      <c r="BS30" s="1113"/>
      <c r="BT30" s="1114"/>
      <c r="BU30" s="1113"/>
      <c r="BV30" s="1113"/>
      <c r="BW30" s="1113"/>
      <c r="BX30" s="1113"/>
      <c r="BY30" s="1115"/>
      <c r="CB30" s="1112"/>
      <c r="CC30" s="1113"/>
      <c r="CD30" s="1539"/>
      <c r="CE30" s="1540"/>
      <c r="CF30" s="1540"/>
      <c r="CG30" s="1541"/>
      <c r="CH30" s="1114"/>
      <c r="CI30" s="1113"/>
      <c r="CJ30" s="1113"/>
      <c r="CK30" s="1113"/>
      <c r="CL30" s="1113"/>
      <c r="CM30" s="1113"/>
      <c r="CN30" s="1113"/>
      <c r="CO30" s="1113"/>
      <c r="CP30" s="1113"/>
      <c r="CQ30" s="1113"/>
      <c r="CR30" s="1113"/>
      <c r="CS30" s="1113"/>
      <c r="CT30" s="1113"/>
      <c r="CU30" s="1113"/>
      <c r="CV30" s="1114"/>
      <c r="CW30" s="1113"/>
      <c r="CX30" s="1113"/>
      <c r="CY30" s="1113"/>
      <c r="CZ30" s="1113"/>
      <c r="DA30" s="1113"/>
      <c r="DB30" s="1113"/>
      <c r="DC30" s="1113"/>
      <c r="DD30" s="1113"/>
      <c r="DE30" s="1113"/>
      <c r="DF30" s="1113"/>
      <c r="DG30" s="1114"/>
      <c r="DH30" s="1113"/>
      <c r="DI30" s="1113"/>
      <c r="DJ30" s="1113"/>
      <c r="DK30" s="1113"/>
      <c r="DL30" s="1115"/>
      <c r="DO30" s="1112"/>
      <c r="DP30" s="1113"/>
      <c r="DQ30" s="1539"/>
      <c r="DR30" s="1540"/>
      <c r="DS30" s="1540"/>
      <c r="DT30" s="1541"/>
      <c r="DU30" s="1114"/>
      <c r="DV30" s="1113"/>
      <c r="DW30" s="1113"/>
      <c r="DX30" s="1113"/>
      <c r="DY30" s="1113"/>
      <c r="DZ30" s="1113"/>
      <c r="EA30" s="1113"/>
      <c r="EB30" s="1113"/>
      <c r="EC30" s="1113"/>
      <c r="ED30" s="1113"/>
      <c r="EE30" s="1113"/>
      <c r="EF30" s="1113"/>
      <c r="EG30" s="1113"/>
      <c r="EH30" s="1113"/>
      <c r="EI30" s="1114"/>
      <c r="EJ30" s="1113"/>
      <c r="EK30" s="1113"/>
      <c r="EL30" s="1113"/>
      <c r="EM30" s="1113"/>
      <c r="EN30" s="1113"/>
      <c r="EO30" s="1113"/>
      <c r="EP30" s="1113"/>
      <c r="EQ30" s="1113"/>
      <c r="ER30" s="1113"/>
      <c r="ES30" s="1113"/>
      <c r="ET30" s="1114"/>
      <c r="EU30" s="1113"/>
      <c r="EV30" s="1113"/>
      <c r="EW30" s="1113"/>
      <c r="EX30" s="1113"/>
      <c r="EY30" s="1115"/>
    </row>
    <row r="31" spans="2:155" ht="12" customHeight="1" x14ac:dyDescent="0.2">
      <c r="B31" s="1097"/>
      <c r="C31" s="1098"/>
      <c r="D31" s="1542"/>
      <c r="E31" s="1543"/>
      <c r="F31" s="1543"/>
      <c r="G31" s="1544"/>
      <c r="H31" s="1100"/>
      <c r="I31" s="1098"/>
      <c r="J31" s="1098"/>
      <c r="K31" s="1098"/>
      <c r="L31" s="1098"/>
      <c r="M31" s="1098"/>
      <c r="N31" s="1098"/>
      <c r="O31" s="1098"/>
      <c r="P31" s="1098"/>
      <c r="Q31" s="1098"/>
      <c r="R31" s="1098"/>
      <c r="S31" s="1098"/>
      <c r="T31" s="1098"/>
      <c r="U31" s="1098"/>
      <c r="V31" s="1100"/>
      <c r="W31" s="1098"/>
      <c r="X31" s="1098"/>
      <c r="Y31" s="1098"/>
      <c r="Z31" s="1098"/>
      <c r="AA31" s="1098"/>
      <c r="AB31" s="1098"/>
      <c r="AC31" s="1098"/>
      <c r="AD31" s="1098"/>
      <c r="AE31" s="1098"/>
      <c r="AF31" s="1098"/>
      <c r="AG31" s="1100"/>
      <c r="AH31" s="1098"/>
      <c r="AI31" s="1098"/>
      <c r="AJ31" s="1098"/>
      <c r="AK31" s="1098"/>
      <c r="AL31" s="1111"/>
      <c r="AO31" s="1097"/>
      <c r="AP31" s="1098"/>
      <c r="AQ31" s="1542"/>
      <c r="AR31" s="1543"/>
      <c r="AS31" s="1543"/>
      <c r="AT31" s="1544"/>
      <c r="AU31" s="1100"/>
      <c r="AV31" s="1098"/>
      <c r="AW31" s="1098"/>
      <c r="AX31" s="1098"/>
      <c r="AY31" s="1098"/>
      <c r="AZ31" s="1098"/>
      <c r="BA31" s="1098"/>
      <c r="BB31" s="1098"/>
      <c r="BC31" s="1098"/>
      <c r="BD31" s="1098"/>
      <c r="BE31" s="1098"/>
      <c r="BF31" s="1098"/>
      <c r="BG31" s="1098"/>
      <c r="BH31" s="1098"/>
      <c r="BI31" s="1100"/>
      <c r="BJ31" s="1098"/>
      <c r="BK31" s="1098"/>
      <c r="BL31" s="1098"/>
      <c r="BM31" s="1098"/>
      <c r="BN31" s="1098"/>
      <c r="BO31" s="1098"/>
      <c r="BP31" s="1098"/>
      <c r="BQ31" s="1098"/>
      <c r="BR31" s="1098"/>
      <c r="BS31" s="1098"/>
      <c r="BT31" s="1100"/>
      <c r="BU31" s="1098"/>
      <c r="BV31" s="1098"/>
      <c r="BW31" s="1098"/>
      <c r="BX31" s="1098"/>
      <c r="BY31" s="1111"/>
      <c r="CB31" s="1097"/>
      <c r="CC31" s="1098"/>
      <c r="CD31" s="1542"/>
      <c r="CE31" s="1543"/>
      <c r="CF31" s="1543"/>
      <c r="CG31" s="1544"/>
      <c r="CH31" s="1100"/>
      <c r="CI31" s="1098"/>
      <c r="CJ31" s="1098"/>
      <c r="CK31" s="1098"/>
      <c r="CL31" s="1098"/>
      <c r="CM31" s="1098"/>
      <c r="CN31" s="1098"/>
      <c r="CO31" s="1098"/>
      <c r="CP31" s="1098"/>
      <c r="CQ31" s="1098"/>
      <c r="CR31" s="1098"/>
      <c r="CS31" s="1098"/>
      <c r="CT31" s="1098"/>
      <c r="CU31" s="1098"/>
      <c r="CV31" s="1100"/>
      <c r="CW31" s="1098"/>
      <c r="CX31" s="1098"/>
      <c r="CY31" s="1098"/>
      <c r="CZ31" s="1098"/>
      <c r="DA31" s="1098"/>
      <c r="DB31" s="1098"/>
      <c r="DC31" s="1098"/>
      <c r="DD31" s="1098"/>
      <c r="DE31" s="1098"/>
      <c r="DF31" s="1098"/>
      <c r="DG31" s="1100"/>
      <c r="DH31" s="1098"/>
      <c r="DI31" s="1098"/>
      <c r="DJ31" s="1098"/>
      <c r="DK31" s="1098"/>
      <c r="DL31" s="1111"/>
      <c r="DO31" s="1097"/>
      <c r="DP31" s="1098"/>
      <c r="DQ31" s="1542"/>
      <c r="DR31" s="1543"/>
      <c r="DS31" s="1543"/>
      <c r="DT31" s="1544"/>
      <c r="DU31" s="1100"/>
      <c r="DV31" s="1098"/>
      <c r="DW31" s="1098"/>
      <c r="DX31" s="1098"/>
      <c r="DY31" s="1098"/>
      <c r="DZ31" s="1098"/>
      <c r="EA31" s="1098"/>
      <c r="EB31" s="1098"/>
      <c r="EC31" s="1098"/>
      <c r="ED31" s="1098"/>
      <c r="EE31" s="1098"/>
      <c r="EF31" s="1098"/>
      <c r="EG31" s="1098"/>
      <c r="EH31" s="1098"/>
      <c r="EI31" s="1100"/>
      <c r="EJ31" s="1098"/>
      <c r="EK31" s="1098"/>
      <c r="EL31" s="1098"/>
      <c r="EM31" s="1098"/>
      <c r="EN31" s="1098"/>
      <c r="EO31" s="1098"/>
      <c r="EP31" s="1098"/>
      <c r="EQ31" s="1098"/>
      <c r="ER31" s="1098"/>
      <c r="ES31" s="1098"/>
      <c r="ET31" s="1100"/>
      <c r="EU31" s="1098"/>
      <c r="EV31" s="1098"/>
      <c r="EW31" s="1098"/>
      <c r="EX31" s="1098"/>
      <c r="EY31" s="1111"/>
    </row>
    <row r="32" spans="2:155" ht="12" customHeight="1" x14ac:dyDescent="0.2">
      <c r="B32" s="1112"/>
      <c r="C32" s="1113"/>
      <c r="D32" s="1539"/>
      <c r="E32" s="1540"/>
      <c r="F32" s="1540"/>
      <c r="G32" s="1541"/>
      <c r="H32" s="1114"/>
      <c r="I32" s="1113"/>
      <c r="J32" s="1113"/>
      <c r="K32" s="1113"/>
      <c r="L32" s="1113"/>
      <c r="M32" s="1113"/>
      <c r="N32" s="1113"/>
      <c r="O32" s="1113"/>
      <c r="P32" s="1113"/>
      <c r="Q32" s="1113"/>
      <c r="R32" s="1113"/>
      <c r="S32" s="1113"/>
      <c r="T32" s="1113"/>
      <c r="U32" s="1113"/>
      <c r="V32" s="1114"/>
      <c r="W32" s="1113"/>
      <c r="X32" s="1113"/>
      <c r="Y32" s="1113"/>
      <c r="Z32" s="1113"/>
      <c r="AA32" s="1113"/>
      <c r="AB32" s="1113"/>
      <c r="AC32" s="1113"/>
      <c r="AD32" s="1113"/>
      <c r="AE32" s="1113"/>
      <c r="AF32" s="1113"/>
      <c r="AG32" s="1114"/>
      <c r="AH32" s="1113"/>
      <c r="AI32" s="1113"/>
      <c r="AJ32" s="1113"/>
      <c r="AK32" s="1113"/>
      <c r="AL32" s="1115"/>
      <c r="AO32" s="1112"/>
      <c r="AP32" s="1113"/>
      <c r="AQ32" s="1539"/>
      <c r="AR32" s="1540"/>
      <c r="AS32" s="1540"/>
      <c r="AT32" s="1541"/>
      <c r="AU32" s="1114"/>
      <c r="AV32" s="1113"/>
      <c r="AW32" s="1113"/>
      <c r="AX32" s="1113"/>
      <c r="AY32" s="1113"/>
      <c r="AZ32" s="1113"/>
      <c r="BA32" s="1113"/>
      <c r="BB32" s="1113"/>
      <c r="BC32" s="1113"/>
      <c r="BD32" s="1113"/>
      <c r="BE32" s="1113"/>
      <c r="BF32" s="1113"/>
      <c r="BG32" s="1113"/>
      <c r="BH32" s="1113"/>
      <c r="BI32" s="1114"/>
      <c r="BJ32" s="1113"/>
      <c r="BK32" s="1113"/>
      <c r="BL32" s="1113"/>
      <c r="BM32" s="1113"/>
      <c r="BN32" s="1113"/>
      <c r="BO32" s="1113"/>
      <c r="BP32" s="1113"/>
      <c r="BQ32" s="1113"/>
      <c r="BR32" s="1113"/>
      <c r="BS32" s="1113"/>
      <c r="BT32" s="1114"/>
      <c r="BU32" s="1113"/>
      <c r="BV32" s="1113"/>
      <c r="BW32" s="1113"/>
      <c r="BX32" s="1113"/>
      <c r="BY32" s="1115"/>
      <c r="CB32" s="1112"/>
      <c r="CC32" s="1113"/>
      <c r="CD32" s="1539"/>
      <c r="CE32" s="1540"/>
      <c r="CF32" s="1540"/>
      <c r="CG32" s="1541"/>
      <c r="CH32" s="1114"/>
      <c r="CI32" s="1113"/>
      <c r="CJ32" s="1113"/>
      <c r="CK32" s="1113"/>
      <c r="CL32" s="1113"/>
      <c r="CM32" s="1113"/>
      <c r="CN32" s="1113"/>
      <c r="CO32" s="1113"/>
      <c r="CP32" s="1113"/>
      <c r="CQ32" s="1113"/>
      <c r="CR32" s="1113"/>
      <c r="CS32" s="1113"/>
      <c r="CT32" s="1113"/>
      <c r="CU32" s="1113"/>
      <c r="CV32" s="1114"/>
      <c r="CW32" s="1113"/>
      <c r="CX32" s="1113"/>
      <c r="CY32" s="1113"/>
      <c r="CZ32" s="1113"/>
      <c r="DA32" s="1113"/>
      <c r="DB32" s="1113"/>
      <c r="DC32" s="1113"/>
      <c r="DD32" s="1113"/>
      <c r="DE32" s="1113"/>
      <c r="DF32" s="1113"/>
      <c r="DG32" s="1114"/>
      <c r="DH32" s="1113"/>
      <c r="DI32" s="1113"/>
      <c r="DJ32" s="1113"/>
      <c r="DK32" s="1113"/>
      <c r="DL32" s="1115"/>
      <c r="DO32" s="1112"/>
      <c r="DP32" s="1113"/>
      <c r="DQ32" s="1539"/>
      <c r="DR32" s="1540"/>
      <c r="DS32" s="1540"/>
      <c r="DT32" s="1541"/>
      <c r="DU32" s="1114"/>
      <c r="DV32" s="1113"/>
      <c r="DW32" s="1113"/>
      <c r="DX32" s="1113"/>
      <c r="DY32" s="1113"/>
      <c r="DZ32" s="1113"/>
      <c r="EA32" s="1113"/>
      <c r="EB32" s="1113"/>
      <c r="EC32" s="1113"/>
      <c r="ED32" s="1113"/>
      <c r="EE32" s="1113"/>
      <c r="EF32" s="1113"/>
      <c r="EG32" s="1113"/>
      <c r="EH32" s="1113"/>
      <c r="EI32" s="1114"/>
      <c r="EJ32" s="1113"/>
      <c r="EK32" s="1113"/>
      <c r="EL32" s="1113"/>
      <c r="EM32" s="1113"/>
      <c r="EN32" s="1113"/>
      <c r="EO32" s="1113"/>
      <c r="EP32" s="1113"/>
      <c r="EQ32" s="1113"/>
      <c r="ER32" s="1113"/>
      <c r="ES32" s="1113"/>
      <c r="ET32" s="1114"/>
      <c r="EU32" s="1113"/>
      <c r="EV32" s="1113"/>
      <c r="EW32" s="1113"/>
      <c r="EX32" s="1113"/>
      <c r="EY32" s="1115"/>
    </row>
    <row r="33" spans="2:155" ht="12" customHeight="1" x14ac:dyDescent="0.2">
      <c r="B33" s="1097"/>
      <c r="C33" s="1098"/>
      <c r="D33" s="1542"/>
      <c r="E33" s="1543"/>
      <c r="F33" s="1543"/>
      <c r="G33" s="1544"/>
      <c r="H33" s="1100"/>
      <c r="I33" s="1098"/>
      <c r="J33" s="1098"/>
      <c r="K33" s="1098"/>
      <c r="L33" s="1098"/>
      <c r="M33" s="1098"/>
      <c r="N33" s="1098"/>
      <c r="O33" s="1098"/>
      <c r="P33" s="1098"/>
      <c r="Q33" s="1098"/>
      <c r="R33" s="1098"/>
      <c r="S33" s="1098"/>
      <c r="T33" s="1098"/>
      <c r="U33" s="1098"/>
      <c r="V33" s="1100"/>
      <c r="W33" s="1098"/>
      <c r="X33" s="1098"/>
      <c r="Y33" s="1098"/>
      <c r="Z33" s="1098"/>
      <c r="AA33" s="1098"/>
      <c r="AB33" s="1098"/>
      <c r="AC33" s="1098"/>
      <c r="AD33" s="1098"/>
      <c r="AE33" s="1098"/>
      <c r="AF33" s="1098"/>
      <c r="AG33" s="1100"/>
      <c r="AH33" s="1098"/>
      <c r="AI33" s="1098"/>
      <c r="AJ33" s="1098"/>
      <c r="AK33" s="1098"/>
      <c r="AL33" s="1111"/>
      <c r="AO33" s="1097"/>
      <c r="AP33" s="1098"/>
      <c r="AQ33" s="1542"/>
      <c r="AR33" s="1543"/>
      <c r="AS33" s="1543"/>
      <c r="AT33" s="1544"/>
      <c r="AU33" s="1100"/>
      <c r="AV33" s="1098"/>
      <c r="AW33" s="1098"/>
      <c r="AX33" s="1098"/>
      <c r="AY33" s="1098"/>
      <c r="AZ33" s="1098"/>
      <c r="BA33" s="1098"/>
      <c r="BB33" s="1098"/>
      <c r="BC33" s="1098"/>
      <c r="BD33" s="1098"/>
      <c r="BE33" s="1098"/>
      <c r="BF33" s="1098"/>
      <c r="BG33" s="1098"/>
      <c r="BH33" s="1098"/>
      <c r="BI33" s="1100"/>
      <c r="BJ33" s="1098"/>
      <c r="BK33" s="1098"/>
      <c r="BL33" s="1098"/>
      <c r="BM33" s="1098"/>
      <c r="BN33" s="1098"/>
      <c r="BO33" s="1098"/>
      <c r="BP33" s="1098"/>
      <c r="BQ33" s="1098"/>
      <c r="BR33" s="1098"/>
      <c r="BS33" s="1098"/>
      <c r="BT33" s="1100"/>
      <c r="BU33" s="1098"/>
      <c r="BV33" s="1098"/>
      <c r="BW33" s="1098"/>
      <c r="BX33" s="1098"/>
      <c r="BY33" s="1111"/>
      <c r="CB33" s="1097"/>
      <c r="CC33" s="1098"/>
      <c r="CD33" s="1542"/>
      <c r="CE33" s="1543"/>
      <c r="CF33" s="1543"/>
      <c r="CG33" s="1544"/>
      <c r="CH33" s="1100"/>
      <c r="CI33" s="1098"/>
      <c r="CJ33" s="1098"/>
      <c r="CK33" s="1098"/>
      <c r="CL33" s="1098"/>
      <c r="CM33" s="1098"/>
      <c r="CN33" s="1098"/>
      <c r="CO33" s="1098"/>
      <c r="CP33" s="1098"/>
      <c r="CQ33" s="1098"/>
      <c r="CR33" s="1098"/>
      <c r="CS33" s="1098"/>
      <c r="CT33" s="1098"/>
      <c r="CU33" s="1098"/>
      <c r="CV33" s="1100"/>
      <c r="CW33" s="1098"/>
      <c r="CX33" s="1098"/>
      <c r="CY33" s="1098"/>
      <c r="CZ33" s="1098"/>
      <c r="DA33" s="1098"/>
      <c r="DB33" s="1098"/>
      <c r="DC33" s="1098"/>
      <c r="DD33" s="1098"/>
      <c r="DE33" s="1098"/>
      <c r="DF33" s="1098"/>
      <c r="DG33" s="1100"/>
      <c r="DH33" s="1098"/>
      <c r="DI33" s="1098"/>
      <c r="DJ33" s="1098"/>
      <c r="DK33" s="1098"/>
      <c r="DL33" s="1111"/>
      <c r="DO33" s="1097"/>
      <c r="DP33" s="1098"/>
      <c r="DQ33" s="1542"/>
      <c r="DR33" s="1543"/>
      <c r="DS33" s="1543"/>
      <c r="DT33" s="1544"/>
      <c r="DU33" s="1100"/>
      <c r="DV33" s="1098"/>
      <c r="DW33" s="1098"/>
      <c r="DX33" s="1098"/>
      <c r="DY33" s="1098"/>
      <c r="DZ33" s="1098"/>
      <c r="EA33" s="1098"/>
      <c r="EB33" s="1098"/>
      <c r="EC33" s="1098"/>
      <c r="ED33" s="1098"/>
      <c r="EE33" s="1098"/>
      <c r="EF33" s="1098"/>
      <c r="EG33" s="1098"/>
      <c r="EH33" s="1098"/>
      <c r="EI33" s="1100"/>
      <c r="EJ33" s="1098"/>
      <c r="EK33" s="1098"/>
      <c r="EL33" s="1098"/>
      <c r="EM33" s="1098"/>
      <c r="EN33" s="1098"/>
      <c r="EO33" s="1098"/>
      <c r="EP33" s="1098"/>
      <c r="EQ33" s="1098"/>
      <c r="ER33" s="1098"/>
      <c r="ES33" s="1098"/>
      <c r="ET33" s="1100"/>
      <c r="EU33" s="1098"/>
      <c r="EV33" s="1098"/>
      <c r="EW33" s="1098"/>
      <c r="EX33" s="1098"/>
      <c r="EY33" s="1111"/>
    </row>
    <row r="34" spans="2:155" ht="12" customHeight="1" x14ac:dyDescent="0.2">
      <c r="B34" s="1112"/>
      <c r="C34" s="1113"/>
      <c r="D34" s="1539"/>
      <c r="E34" s="1540"/>
      <c r="F34" s="1540"/>
      <c r="G34" s="1541"/>
      <c r="H34" s="1114"/>
      <c r="I34" s="1113"/>
      <c r="J34" s="1113"/>
      <c r="K34" s="1113"/>
      <c r="L34" s="1113"/>
      <c r="M34" s="1113"/>
      <c r="N34" s="1113"/>
      <c r="O34" s="1113"/>
      <c r="P34" s="1113"/>
      <c r="Q34" s="1113"/>
      <c r="R34" s="1113"/>
      <c r="S34" s="1113"/>
      <c r="T34" s="1113"/>
      <c r="U34" s="1113"/>
      <c r="V34" s="1114"/>
      <c r="W34" s="1113"/>
      <c r="X34" s="1113"/>
      <c r="Y34" s="1113"/>
      <c r="Z34" s="1113"/>
      <c r="AA34" s="1113"/>
      <c r="AB34" s="1113"/>
      <c r="AC34" s="1113"/>
      <c r="AD34" s="1113"/>
      <c r="AE34" s="1113"/>
      <c r="AF34" s="1113"/>
      <c r="AG34" s="1114"/>
      <c r="AH34" s="1113"/>
      <c r="AI34" s="1113"/>
      <c r="AJ34" s="1113"/>
      <c r="AK34" s="1113"/>
      <c r="AL34" s="1115"/>
      <c r="AO34" s="1112"/>
      <c r="AP34" s="1113"/>
      <c r="AQ34" s="1539"/>
      <c r="AR34" s="1540"/>
      <c r="AS34" s="1540"/>
      <c r="AT34" s="1541"/>
      <c r="AU34" s="1114"/>
      <c r="AV34" s="1113"/>
      <c r="AW34" s="1113"/>
      <c r="AX34" s="1113"/>
      <c r="AY34" s="1113"/>
      <c r="AZ34" s="1113"/>
      <c r="BA34" s="1113"/>
      <c r="BB34" s="1113"/>
      <c r="BC34" s="1113"/>
      <c r="BD34" s="1113"/>
      <c r="BE34" s="1113"/>
      <c r="BF34" s="1113"/>
      <c r="BG34" s="1113"/>
      <c r="BH34" s="1113"/>
      <c r="BI34" s="1114"/>
      <c r="BJ34" s="1113"/>
      <c r="BK34" s="1113"/>
      <c r="BL34" s="1113"/>
      <c r="BM34" s="1113"/>
      <c r="BN34" s="1113"/>
      <c r="BO34" s="1113"/>
      <c r="BP34" s="1113"/>
      <c r="BQ34" s="1113"/>
      <c r="BR34" s="1113"/>
      <c r="BS34" s="1113"/>
      <c r="BT34" s="1114"/>
      <c r="BU34" s="1113"/>
      <c r="BV34" s="1113"/>
      <c r="BW34" s="1113"/>
      <c r="BX34" s="1113"/>
      <c r="BY34" s="1115"/>
      <c r="CB34" s="1112"/>
      <c r="CC34" s="1113"/>
      <c r="CD34" s="1539"/>
      <c r="CE34" s="1540"/>
      <c r="CF34" s="1540"/>
      <c r="CG34" s="1541"/>
      <c r="CH34" s="1114"/>
      <c r="CI34" s="1113"/>
      <c r="CJ34" s="1113"/>
      <c r="CK34" s="1113"/>
      <c r="CL34" s="1113"/>
      <c r="CM34" s="1113"/>
      <c r="CN34" s="1113"/>
      <c r="CO34" s="1113"/>
      <c r="CP34" s="1113"/>
      <c r="CQ34" s="1113"/>
      <c r="CR34" s="1113"/>
      <c r="CS34" s="1113"/>
      <c r="CT34" s="1113"/>
      <c r="CU34" s="1113"/>
      <c r="CV34" s="1114"/>
      <c r="CW34" s="1113"/>
      <c r="CX34" s="1113"/>
      <c r="CY34" s="1113"/>
      <c r="CZ34" s="1113"/>
      <c r="DA34" s="1113"/>
      <c r="DB34" s="1113"/>
      <c r="DC34" s="1113"/>
      <c r="DD34" s="1113"/>
      <c r="DE34" s="1113"/>
      <c r="DF34" s="1113"/>
      <c r="DG34" s="1114"/>
      <c r="DH34" s="1113"/>
      <c r="DI34" s="1113"/>
      <c r="DJ34" s="1113"/>
      <c r="DK34" s="1113"/>
      <c r="DL34" s="1115"/>
      <c r="DO34" s="1112"/>
      <c r="DP34" s="1113"/>
      <c r="DQ34" s="1539"/>
      <c r="DR34" s="1540"/>
      <c r="DS34" s="1540"/>
      <c r="DT34" s="1541"/>
      <c r="DU34" s="1114"/>
      <c r="DV34" s="1113"/>
      <c r="DW34" s="1113"/>
      <c r="DX34" s="1113"/>
      <c r="DY34" s="1113"/>
      <c r="DZ34" s="1113"/>
      <c r="EA34" s="1113"/>
      <c r="EB34" s="1113"/>
      <c r="EC34" s="1113"/>
      <c r="ED34" s="1113"/>
      <c r="EE34" s="1113"/>
      <c r="EF34" s="1113"/>
      <c r="EG34" s="1113"/>
      <c r="EH34" s="1113"/>
      <c r="EI34" s="1114"/>
      <c r="EJ34" s="1113"/>
      <c r="EK34" s="1113"/>
      <c r="EL34" s="1113"/>
      <c r="EM34" s="1113"/>
      <c r="EN34" s="1113"/>
      <c r="EO34" s="1113"/>
      <c r="EP34" s="1113"/>
      <c r="EQ34" s="1113"/>
      <c r="ER34" s="1113"/>
      <c r="ES34" s="1113"/>
      <c r="ET34" s="1114"/>
      <c r="EU34" s="1113"/>
      <c r="EV34" s="1113"/>
      <c r="EW34" s="1113"/>
      <c r="EX34" s="1113"/>
      <c r="EY34" s="1115"/>
    </row>
    <row r="35" spans="2:155" ht="12" customHeight="1" x14ac:dyDescent="0.2">
      <c r="B35" s="1097"/>
      <c r="C35" s="1098"/>
      <c r="D35" s="1542"/>
      <c r="E35" s="1543"/>
      <c r="F35" s="1543"/>
      <c r="G35" s="1544"/>
      <c r="H35" s="1100"/>
      <c r="I35" s="1098"/>
      <c r="J35" s="1098"/>
      <c r="K35" s="1098"/>
      <c r="L35" s="1098"/>
      <c r="M35" s="1098"/>
      <c r="N35" s="1098"/>
      <c r="O35" s="1098"/>
      <c r="P35" s="1098"/>
      <c r="Q35" s="1098"/>
      <c r="R35" s="1098"/>
      <c r="S35" s="1098"/>
      <c r="T35" s="1098"/>
      <c r="U35" s="1098"/>
      <c r="V35" s="1100"/>
      <c r="W35" s="1098"/>
      <c r="X35" s="1098"/>
      <c r="Y35" s="1098"/>
      <c r="Z35" s="1098"/>
      <c r="AA35" s="1098"/>
      <c r="AB35" s="1098"/>
      <c r="AC35" s="1098"/>
      <c r="AD35" s="1098"/>
      <c r="AE35" s="1098"/>
      <c r="AF35" s="1098"/>
      <c r="AG35" s="1100"/>
      <c r="AH35" s="1098"/>
      <c r="AI35" s="1098"/>
      <c r="AJ35" s="1098"/>
      <c r="AK35" s="1098"/>
      <c r="AL35" s="1111"/>
      <c r="AO35" s="1097"/>
      <c r="AP35" s="1098"/>
      <c r="AQ35" s="1542"/>
      <c r="AR35" s="1543"/>
      <c r="AS35" s="1543"/>
      <c r="AT35" s="1544"/>
      <c r="AU35" s="1100"/>
      <c r="AV35" s="1098"/>
      <c r="AW35" s="1098"/>
      <c r="AX35" s="1098"/>
      <c r="AY35" s="1098"/>
      <c r="AZ35" s="1098"/>
      <c r="BA35" s="1098"/>
      <c r="BB35" s="1098"/>
      <c r="BC35" s="1098"/>
      <c r="BD35" s="1098"/>
      <c r="BE35" s="1098"/>
      <c r="BF35" s="1098"/>
      <c r="BG35" s="1098"/>
      <c r="BH35" s="1098"/>
      <c r="BI35" s="1100"/>
      <c r="BJ35" s="1098"/>
      <c r="BK35" s="1098"/>
      <c r="BL35" s="1098"/>
      <c r="BM35" s="1098"/>
      <c r="BN35" s="1098"/>
      <c r="BO35" s="1098"/>
      <c r="BP35" s="1098"/>
      <c r="BQ35" s="1098"/>
      <c r="BR35" s="1098"/>
      <c r="BS35" s="1098"/>
      <c r="BT35" s="1100"/>
      <c r="BU35" s="1098"/>
      <c r="BV35" s="1098"/>
      <c r="BW35" s="1098"/>
      <c r="BX35" s="1098"/>
      <c r="BY35" s="1111"/>
      <c r="CB35" s="1097"/>
      <c r="CC35" s="1098"/>
      <c r="CD35" s="1542"/>
      <c r="CE35" s="1543"/>
      <c r="CF35" s="1543"/>
      <c r="CG35" s="1544"/>
      <c r="CH35" s="1100"/>
      <c r="CI35" s="1098"/>
      <c r="CJ35" s="1098"/>
      <c r="CK35" s="1098"/>
      <c r="CL35" s="1098"/>
      <c r="CM35" s="1098"/>
      <c r="CN35" s="1098"/>
      <c r="CO35" s="1098"/>
      <c r="CP35" s="1098"/>
      <c r="CQ35" s="1098"/>
      <c r="CR35" s="1098"/>
      <c r="CS35" s="1098"/>
      <c r="CT35" s="1098"/>
      <c r="CU35" s="1098"/>
      <c r="CV35" s="1100"/>
      <c r="CW35" s="1098"/>
      <c r="CX35" s="1098"/>
      <c r="CY35" s="1098"/>
      <c r="CZ35" s="1098"/>
      <c r="DA35" s="1098"/>
      <c r="DB35" s="1098"/>
      <c r="DC35" s="1098"/>
      <c r="DD35" s="1098"/>
      <c r="DE35" s="1098"/>
      <c r="DF35" s="1098"/>
      <c r="DG35" s="1100"/>
      <c r="DH35" s="1098"/>
      <c r="DI35" s="1098"/>
      <c r="DJ35" s="1098"/>
      <c r="DK35" s="1098"/>
      <c r="DL35" s="1111"/>
      <c r="DO35" s="1097"/>
      <c r="DP35" s="1098"/>
      <c r="DQ35" s="1542"/>
      <c r="DR35" s="1543"/>
      <c r="DS35" s="1543"/>
      <c r="DT35" s="1544"/>
      <c r="DU35" s="1100"/>
      <c r="DV35" s="1098"/>
      <c r="DW35" s="1098"/>
      <c r="DX35" s="1098"/>
      <c r="DY35" s="1098"/>
      <c r="DZ35" s="1098"/>
      <c r="EA35" s="1098"/>
      <c r="EB35" s="1098"/>
      <c r="EC35" s="1098"/>
      <c r="ED35" s="1098"/>
      <c r="EE35" s="1098"/>
      <c r="EF35" s="1098"/>
      <c r="EG35" s="1098"/>
      <c r="EH35" s="1098"/>
      <c r="EI35" s="1100"/>
      <c r="EJ35" s="1098"/>
      <c r="EK35" s="1098"/>
      <c r="EL35" s="1098"/>
      <c r="EM35" s="1098"/>
      <c r="EN35" s="1098"/>
      <c r="EO35" s="1098"/>
      <c r="EP35" s="1098"/>
      <c r="EQ35" s="1098"/>
      <c r="ER35" s="1098"/>
      <c r="ES35" s="1098"/>
      <c r="ET35" s="1100"/>
      <c r="EU35" s="1098"/>
      <c r="EV35" s="1098"/>
      <c r="EW35" s="1098"/>
      <c r="EX35" s="1098"/>
      <c r="EY35" s="1111"/>
    </row>
    <row r="36" spans="2:155" ht="12" customHeight="1" x14ac:dyDescent="0.2">
      <c r="B36" s="1112"/>
      <c r="C36" s="1113"/>
      <c r="D36" s="1539"/>
      <c r="E36" s="1540"/>
      <c r="F36" s="1540"/>
      <c r="G36" s="1541"/>
      <c r="H36" s="1114"/>
      <c r="I36" s="1113"/>
      <c r="J36" s="1113"/>
      <c r="K36" s="1113"/>
      <c r="L36" s="1113"/>
      <c r="M36" s="1113"/>
      <c r="N36" s="1113"/>
      <c r="O36" s="1113"/>
      <c r="P36" s="1113"/>
      <c r="Q36" s="1113"/>
      <c r="R36" s="1113"/>
      <c r="S36" s="1113"/>
      <c r="T36" s="1113"/>
      <c r="U36" s="1113"/>
      <c r="V36" s="1114"/>
      <c r="W36" s="1113"/>
      <c r="X36" s="1113"/>
      <c r="Y36" s="1113"/>
      <c r="Z36" s="1113"/>
      <c r="AA36" s="1113"/>
      <c r="AB36" s="1113"/>
      <c r="AC36" s="1113"/>
      <c r="AD36" s="1113"/>
      <c r="AE36" s="1113"/>
      <c r="AF36" s="1113"/>
      <c r="AG36" s="1114"/>
      <c r="AH36" s="1113"/>
      <c r="AI36" s="1113"/>
      <c r="AJ36" s="1113"/>
      <c r="AK36" s="1113"/>
      <c r="AL36" s="1115"/>
      <c r="AO36" s="1112"/>
      <c r="AP36" s="1113"/>
      <c r="AQ36" s="1539"/>
      <c r="AR36" s="1540"/>
      <c r="AS36" s="1540"/>
      <c r="AT36" s="1541"/>
      <c r="AU36" s="1114"/>
      <c r="AV36" s="1113"/>
      <c r="AW36" s="1113"/>
      <c r="AX36" s="1113"/>
      <c r="AY36" s="1113"/>
      <c r="AZ36" s="1113"/>
      <c r="BA36" s="1113"/>
      <c r="BB36" s="1113"/>
      <c r="BC36" s="1113"/>
      <c r="BD36" s="1113"/>
      <c r="BE36" s="1113"/>
      <c r="BF36" s="1113"/>
      <c r="BG36" s="1113"/>
      <c r="BH36" s="1113"/>
      <c r="BI36" s="1114"/>
      <c r="BJ36" s="1113"/>
      <c r="BK36" s="1113"/>
      <c r="BL36" s="1113"/>
      <c r="BM36" s="1113"/>
      <c r="BN36" s="1113"/>
      <c r="BO36" s="1113"/>
      <c r="BP36" s="1113"/>
      <c r="BQ36" s="1113"/>
      <c r="BR36" s="1113"/>
      <c r="BS36" s="1113"/>
      <c r="BT36" s="1114"/>
      <c r="BU36" s="1113"/>
      <c r="BV36" s="1113"/>
      <c r="BW36" s="1113"/>
      <c r="BX36" s="1113"/>
      <c r="BY36" s="1115"/>
      <c r="CB36" s="1112"/>
      <c r="CC36" s="1113"/>
      <c r="CD36" s="1539"/>
      <c r="CE36" s="1540"/>
      <c r="CF36" s="1540"/>
      <c r="CG36" s="1541"/>
      <c r="CH36" s="1114"/>
      <c r="CI36" s="1113"/>
      <c r="CJ36" s="1113"/>
      <c r="CK36" s="1113"/>
      <c r="CL36" s="1113"/>
      <c r="CM36" s="1113"/>
      <c r="CN36" s="1113"/>
      <c r="CO36" s="1113"/>
      <c r="CP36" s="1113"/>
      <c r="CQ36" s="1113"/>
      <c r="CR36" s="1113"/>
      <c r="CS36" s="1113"/>
      <c r="CT36" s="1113"/>
      <c r="CU36" s="1113"/>
      <c r="CV36" s="1114"/>
      <c r="CW36" s="1113"/>
      <c r="CX36" s="1113"/>
      <c r="CY36" s="1113"/>
      <c r="CZ36" s="1113"/>
      <c r="DA36" s="1113"/>
      <c r="DB36" s="1113"/>
      <c r="DC36" s="1113"/>
      <c r="DD36" s="1113"/>
      <c r="DE36" s="1113"/>
      <c r="DF36" s="1113"/>
      <c r="DG36" s="1114"/>
      <c r="DH36" s="1113"/>
      <c r="DI36" s="1113"/>
      <c r="DJ36" s="1113"/>
      <c r="DK36" s="1113"/>
      <c r="DL36" s="1115"/>
      <c r="DO36" s="1112"/>
      <c r="DP36" s="1113"/>
      <c r="DQ36" s="1539"/>
      <c r="DR36" s="1540"/>
      <c r="DS36" s="1540"/>
      <c r="DT36" s="1541"/>
      <c r="DU36" s="1114"/>
      <c r="DV36" s="1113"/>
      <c r="DW36" s="1113"/>
      <c r="DX36" s="1113"/>
      <c r="DY36" s="1113"/>
      <c r="DZ36" s="1113"/>
      <c r="EA36" s="1113"/>
      <c r="EB36" s="1113"/>
      <c r="EC36" s="1113"/>
      <c r="ED36" s="1113"/>
      <c r="EE36" s="1113"/>
      <c r="EF36" s="1113"/>
      <c r="EG36" s="1113"/>
      <c r="EH36" s="1113"/>
      <c r="EI36" s="1114"/>
      <c r="EJ36" s="1113"/>
      <c r="EK36" s="1113"/>
      <c r="EL36" s="1113"/>
      <c r="EM36" s="1113"/>
      <c r="EN36" s="1113"/>
      <c r="EO36" s="1113"/>
      <c r="EP36" s="1113"/>
      <c r="EQ36" s="1113"/>
      <c r="ER36" s="1113"/>
      <c r="ES36" s="1113"/>
      <c r="ET36" s="1114"/>
      <c r="EU36" s="1113"/>
      <c r="EV36" s="1113"/>
      <c r="EW36" s="1113"/>
      <c r="EX36" s="1113"/>
      <c r="EY36" s="1115"/>
    </row>
    <row r="37" spans="2:155" ht="12" customHeight="1" x14ac:dyDescent="0.2">
      <c r="B37" s="1097"/>
      <c r="C37" s="1098"/>
      <c r="D37" s="1098"/>
      <c r="E37" s="1098"/>
      <c r="F37" s="1098"/>
      <c r="G37" s="1098"/>
      <c r="H37" s="1098"/>
      <c r="I37" s="1116" t="s">
        <v>3058</v>
      </c>
      <c r="J37" s="1098"/>
      <c r="K37" s="1098"/>
      <c r="L37" s="1098"/>
      <c r="M37" s="1098"/>
      <c r="N37" s="1098"/>
      <c r="O37" s="1098"/>
      <c r="P37" s="1117"/>
      <c r="Q37" s="1118"/>
      <c r="R37" s="1101"/>
      <c r="S37" s="1101"/>
      <c r="T37" s="1101"/>
      <c r="U37" s="1101"/>
      <c r="V37" s="1101"/>
      <c r="W37" s="1101"/>
      <c r="X37" s="1101"/>
      <c r="Y37" s="1109" t="s">
        <v>3059</v>
      </c>
      <c r="Z37" s="1101"/>
      <c r="AA37" s="1101"/>
      <c r="AB37" s="1101"/>
      <c r="AC37" s="1101"/>
      <c r="AD37" s="1101"/>
      <c r="AE37" s="1101"/>
      <c r="AF37" s="1101"/>
      <c r="AG37" s="1101"/>
      <c r="AH37" s="1101"/>
      <c r="AI37" s="1092" t="s">
        <v>3060</v>
      </c>
      <c r="AL37" s="1119"/>
      <c r="AO37" s="1097"/>
      <c r="AP37" s="1098"/>
      <c r="AQ37" s="1098"/>
      <c r="AR37" s="1098"/>
      <c r="AS37" s="1098"/>
      <c r="AT37" s="1098"/>
      <c r="AU37" s="1098"/>
      <c r="AV37" s="1116" t="s">
        <v>3058</v>
      </c>
      <c r="AW37" s="1098"/>
      <c r="AX37" s="1098"/>
      <c r="AY37" s="1098"/>
      <c r="AZ37" s="1098"/>
      <c r="BA37" s="1098"/>
      <c r="BB37" s="1098"/>
      <c r="BC37" s="1117"/>
      <c r="BD37" s="1118"/>
      <c r="BE37" s="1101"/>
      <c r="BF37" s="1101"/>
      <c r="BG37" s="1101"/>
      <c r="BH37" s="1101"/>
      <c r="BI37" s="1101"/>
      <c r="BJ37" s="1101"/>
      <c r="BK37" s="1101"/>
      <c r="BL37" s="1109" t="s">
        <v>3059</v>
      </c>
      <c r="BM37" s="1101"/>
      <c r="BN37" s="1101"/>
      <c r="BO37" s="1101"/>
      <c r="BP37" s="1101"/>
      <c r="BQ37" s="1101"/>
      <c r="BR37" s="1101"/>
      <c r="BS37" s="1101"/>
      <c r="BT37" s="1101"/>
      <c r="BU37" s="1101"/>
      <c r="BV37" s="1092" t="s">
        <v>3060</v>
      </c>
      <c r="BY37" s="1119"/>
      <c r="CB37" s="1097"/>
      <c r="CC37" s="1098"/>
      <c r="CD37" s="1098"/>
      <c r="CE37" s="1098"/>
      <c r="CF37" s="1098"/>
      <c r="CG37" s="1098"/>
      <c r="CH37" s="1098"/>
      <c r="CI37" s="1116" t="s">
        <v>3058</v>
      </c>
      <c r="CJ37" s="1098"/>
      <c r="CK37" s="1098"/>
      <c r="CL37" s="1098"/>
      <c r="CM37" s="1098"/>
      <c r="CN37" s="1098"/>
      <c r="CO37" s="1098"/>
      <c r="CP37" s="1117"/>
      <c r="CQ37" s="1118"/>
      <c r="CR37" s="1101"/>
      <c r="CS37" s="1101"/>
      <c r="CT37" s="1101"/>
      <c r="CU37" s="1101"/>
      <c r="CV37" s="1101"/>
      <c r="CW37" s="1101"/>
      <c r="CX37" s="1101"/>
      <c r="CY37" s="1109" t="s">
        <v>3059</v>
      </c>
      <c r="CZ37" s="1101"/>
      <c r="DA37" s="1101"/>
      <c r="DB37" s="1101"/>
      <c r="DC37" s="1101"/>
      <c r="DD37" s="1101"/>
      <c r="DE37" s="1101"/>
      <c r="DF37" s="1101"/>
      <c r="DG37" s="1101"/>
      <c r="DH37" s="1101"/>
      <c r="DI37" s="1092" t="s">
        <v>3060</v>
      </c>
      <c r="DL37" s="1119"/>
      <c r="DO37" s="1097"/>
      <c r="DP37" s="1098"/>
      <c r="DQ37" s="1098"/>
      <c r="DR37" s="1098"/>
      <c r="DS37" s="1098"/>
      <c r="DT37" s="1098"/>
      <c r="DU37" s="1098"/>
      <c r="DV37" s="1116" t="s">
        <v>3058</v>
      </c>
      <c r="DW37" s="1098"/>
      <c r="DX37" s="1098"/>
      <c r="DY37" s="1098"/>
      <c r="DZ37" s="1098"/>
      <c r="EA37" s="1098"/>
      <c r="EB37" s="1098"/>
      <c r="EC37" s="1117"/>
      <c r="ED37" s="1118"/>
      <c r="EE37" s="1101"/>
      <c r="EF37" s="1101"/>
      <c r="EG37" s="1101"/>
      <c r="EH37" s="1101"/>
      <c r="EI37" s="1101"/>
      <c r="EJ37" s="1101"/>
      <c r="EK37" s="1101"/>
      <c r="EL37" s="1109" t="s">
        <v>3059</v>
      </c>
      <c r="EM37" s="1101"/>
      <c r="EN37" s="1101"/>
      <c r="EO37" s="1101"/>
      <c r="EP37" s="1101"/>
      <c r="EQ37" s="1101"/>
      <c r="ER37" s="1101"/>
      <c r="ES37" s="1101"/>
      <c r="ET37" s="1101"/>
      <c r="EU37" s="1101"/>
      <c r="EV37" s="1092" t="s">
        <v>3060</v>
      </c>
      <c r="EY37" s="1119"/>
    </row>
    <row r="38" spans="2:155" ht="12" customHeight="1" x14ac:dyDescent="0.2">
      <c r="B38" s="1120"/>
      <c r="C38" s="1106"/>
      <c r="D38" s="1121" t="s">
        <v>3061</v>
      </c>
      <c r="E38" s="1106"/>
      <c r="F38" s="1106"/>
      <c r="G38" s="1106"/>
      <c r="H38" s="1106"/>
      <c r="I38" s="1121" t="s">
        <v>3062</v>
      </c>
      <c r="J38" s="1106"/>
      <c r="K38" s="1106"/>
      <c r="L38" s="1106"/>
      <c r="M38" s="1106"/>
      <c r="N38" s="1121" t="s">
        <v>3063</v>
      </c>
      <c r="O38" s="1106"/>
      <c r="P38" s="1122"/>
      <c r="Q38" s="1102"/>
      <c r="R38" s="1103"/>
      <c r="S38" s="1103"/>
      <c r="T38" s="1103"/>
      <c r="U38" s="1103"/>
      <c r="V38" s="1103"/>
      <c r="W38" s="1103"/>
      <c r="X38" s="1103"/>
      <c r="Y38" s="1123"/>
      <c r="Z38" s="1102"/>
      <c r="AA38" s="1103"/>
      <c r="AB38" s="1103"/>
      <c r="AC38" s="1103"/>
      <c r="AD38" s="1103"/>
      <c r="AE38" s="1103"/>
      <c r="AF38" s="1103"/>
      <c r="AG38" s="1103"/>
      <c r="AH38" s="1123"/>
      <c r="AI38" s="1102"/>
      <c r="AJ38" s="1103"/>
      <c r="AK38" s="1103"/>
      <c r="AL38" s="1104"/>
      <c r="AO38" s="1120"/>
      <c r="AP38" s="1106"/>
      <c r="AQ38" s="1121" t="s">
        <v>3061</v>
      </c>
      <c r="AR38" s="1106"/>
      <c r="AS38" s="1106"/>
      <c r="AT38" s="1106"/>
      <c r="AU38" s="1106"/>
      <c r="AV38" s="1121" t="s">
        <v>3062</v>
      </c>
      <c r="AW38" s="1106"/>
      <c r="AX38" s="1106"/>
      <c r="AY38" s="1106"/>
      <c r="AZ38" s="1106"/>
      <c r="BA38" s="1121" t="s">
        <v>3063</v>
      </c>
      <c r="BB38" s="1106"/>
      <c r="BC38" s="1122"/>
      <c r="BD38" s="1102"/>
      <c r="BE38" s="1103"/>
      <c r="BF38" s="1103"/>
      <c r="BG38" s="1103"/>
      <c r="BH38" s="1103"/>
      <c r="BI38" s="1103"/>
      <c r="BJ38" s="1103"/>
      <c r="BK38" s="1103"/>
      <c r="BL38" s="1123"/>
      <c r="BM38" s="1102"/>
      <c r="BN38" s="1103"/>
      <c r="BO38" s="1103"/>
      <c r="BP38" s="1103"/>
      <c r="BQ38" s="1103"/>
      <c r="BR38" s="1103"/>
      <c r="BS38" s="1103"/>
      <c r="BT38" s="1103"/>
      <c r="BU38" s="1123"/>
      <c r="BV38" s="1102"/>
      <c r="BW38" s="1103"/>
      <c r="BX38" s="1103"/>
      <c r="BY38" s="1104"/>
      <c r="CB38" s="1120"/>
      <c r="CC38" s="1106"/>
      <c r="CD38" s="1121" t="s">
        <v>3061</v>
      </c>
      <c r="CE38" s="1106"/>
      <c r="CF38" s="1106"/>
      <c r="CG38" s="1106"/>
      <c r="CH38" s="1106"/>
      <c r="CI38" s="1121" t="s">
        <v>3062</v>
      </c>
      <c r="CJ38" s="1106"/>
      <c r="CK38" s="1106"/>
      <c r="CL38" s="1106"/>
      <c r="CM38" s="1106"/>
      <c r="CN38" s="1121" t="s">
        <v>3063</v>
      </c>
      <c r="CO38" s="1106"/>
      <c r="CP38" s="1122"/>
      <c r="CQ38" s="1102"/>
      <c r="CR38" s="1103"/>
      <c r="CS38" s="1103"/>
      <c r="CT38" s="1103"/>
      <c r="CU38" s="1103"/>
      <c r="CV38" s="1103"/>
      <c r="CW38" s="1103"/>
      <c r="CX38" s="1103"/>
      <c r="CY38" s="1123"/>
      <c r="CZ38" s="1102"/>
      <c r="DA38" s="1103"/>
      <c r="DB38" s="1103"/>
      <c r="DC38" s="1103"/>
      <c r="DD38" s="1103"/>
      <c r="DE38" s="1103"/>
      <c r="DF38" s="1103"/>
      <c r="DG38" s="1103"/>
      <c r="DH38" s="1123"/>
      <c r="DI38" s="1102"/>
      <c r="DJ38" s="1103"/>
      <c r="DK38" s="1103"/>
      <c r="DL38" s="1104"/>
      <c r="DO38" s="1120"/>
      <c r="DP38" s="1106"/>
      <c r="DQ38" s="1121" t="s">
        <v>3061</v>
      </c>
      <c r="DR38" s="1106"/>
      <c r="DS38" s="1106"/>
      <c r="DT38" s="1106"/>
      <c r="DU38" s="1106"/>
      <c r="DV38" s="1121" t="s">
        <v>3062</v>
      </c>
      <c r="DW38" s="1106"/>
      <c r="DX38" s="1106"/>
      <c r="DY38" s="1106"/>
      <c r="DZ38" s="1106"/>
      <c r="EA38" s="1121" t="s">
        <v>3063</v>
      </c>
      <c r="EB38" s="1106"/>
      <c r="EC38" s="1122"/>
      <c r="ED38" s="1102"/>
      <c r="EE38" s="1103"/>
      <c r="EF38" s="1103"/>
      <c r="EG38" s="1103"/>
      <c r="EH38" s="1103"/>
      <c r="EI38" s="1103"/>
      <c r="EJ38" s="1103"/>
      <c r="EK38" s="1103"/>
      <c r="EL38" s="1123"/>
      <c r="EM38" s="1102"/>
      <c r="EN38" s="1103"/>
      <c r="EO38" s="1103"/>
      <c r="EP38" s="1103"/>
      <c r="EQ38" s="1103"/>
      <c r="ER38" s="1103"/>
      <c r="ES38" s="1103"/>
      <c r="ET38" s="1103"/>
      <c r="EU38" s="1123"/>
      <c r="EV38" s="1102"/>
      <c r="EW38" s="1103"/>
      <c r="EX38" s="1103"/>
      <c r="EY38" s="1104"/>
    </row>
    <row r="39" spans="2:155" ht="12" customHeight="1" x14ac:dyDescent="0.2">
      <c r="B39" s="1527"/>
      <c r="C39" s="1528"/>
      <c r="D39" s="1528"/>
      <c r="E39" s="1528"/>
      <c r="F39" s="1537"/>
      <c r="G39" s="1538"/>
      <c r="H39" s="1528"/>
      <c r="I39" s="1528"/>
      <c r="J39" s="1528"/>
      <c r="K39" s="1537"/>
      <c r="L39" s="1538"/>
      <c r="M39" s="1528"/>
      <c r="N39" s="1528"/>
      <c r="O39" s="1528"/>
      <c r="P39" s="1537"/>
      <c r="Q39" s="1124"/>
      <c r="R39" s="1125"/>
      <c r="S39" s="1125"/>
      <c r="T39" s="1125"/>
      <c r="U39" s="1125"/>
      <c r="V39" s="1125"/>
      <c r="W39" s="1125"/>
      <c r="X39" s="1125"/>
      <c r="Y39" s="1126"/>
      <c r="Z39" s="1124"/>
      <c r="AA39" s="1125"/>
      <c r="AB39" s="1125"/>
      <c r="AC39" s="1125"/>
      <c r="AD39" s="1125"/>
      <c r="AE39" s="1125"/>
      <c r="AF39" s="1125"/>
      <c r="AG39" s="1125"/>
      <c r="AH39" s="1126"/>
      <c r="AI39" s="1124"/>
      <c r="AJ39" s="1125"/>
      <c r="AK39" s="1125"/>
      <c r="AL39" s="1127"/>
      <c r="AO39" s="1527"/>
      <c r="AP39" s="1528"/>
      <c r="AQ39" s="1528"/>
      <c r="AR39" s="1528"/>
      <c r="AS39" s="1537"/>
      <c r="AT39" s="1538"/>
      <c r="AU39" s="1528"/>
      <c r="AV39" s="1528"/>
      <c r="AW39" s="1528"/>
      <c r="AX39" s="1537"/>
      <c r="AY39" s="1538"/>
      <c r="AZ39" s="1528"/>
      <c r="BA39" s="1528"/>
      <c r="BB39" s="1528"/>
      <c r="BC39" s="1537"/>
      <c r="BD39" s="1124"/>
      <c r="BE39" s="1125"/>
      <c r="BF39" s="1125"/>
      <c r="BG39" s="1125"/>
      <c r="BH39" s="1125"/>
      <c r="BI39" s="1125"/>
      <c r="BJ39" s="1125"/>
      <c r="BK39" s="1125"/>
      <c r="BL39" s="1126"/>
      <c r="BM39" s="1124"/>
      <c r="BN39" s="1125"/>
      <c r="BO39" s="1125"/>
      <c r="BP39" s="1125"/>
      <c r="BQ39" s="1125"/>
      <c r="BR39" s="1125"/>
      <c r="BS39" s="1125"/>
      <c r="BT39" s="1125"/>
      <c r="BU39" s="1126"/>
      <c r="BV39" s="1124"/>
      <c r="BW39" s="1125"/>
      <c r="BX39" s="1125"/>
      <c r="BY39" s="1127"/>
      <c r="CB39" s="1527"/>
      <c r="CC39" s="1528"/>
      <c r="CD39" s="1528"/>
      <c r="CE39" s="1528"/>
      <c r="CF39" s="1537"/>
      <c r="CG39" s="1538"/>
      <c r="CH39" s="1528"/>
      <c r="CI39" s="1528"/>
      <c r="CJ39" s="1528"/>
      <c r="CK39" s="1537"/>
      <c r="CL39" s="1538"/>
      <c r="CM39" s="1528"/>
      <c r="CN39" s="1528"/>
      <c r="CO39" s="1528"/>
      <c r="CP39" s="1537"/>
      <c r="CQ39" s="1124"/>
      <c r="CR39" s="1125"/>
      <c r="CS39" s="1125"/>
      <c r="CT39" s="1125"/>
      <c r="CU39" s="1125"/>
      <c r="CV39" s="1125"/>
      <c r="CW39" s="1125"/>
      <c r="CX39" s="1125"/>
      <c r="CY39" s="1126"/>
      <c r="CZ39" s="1124"/>
      <c r="DA39" s="1125"/>
      <c r="DB39" s="1125"/>
      <c r="DC39" s="1125"/>
      <c r="DD39" s="1125"/>
      <c r="DE39" s="1125"/>
      <c r="DF39" s="1125"/>
      <c r="DG39" s="1125"/>
      <c r="DH39" s="1126"/>
      <c r="DI39" s="1124"/>
      <c r="DJ39" s="1125"/>
      <c r="DK39" s="1125"/>
      <c r="DL39" s="1127"/>
      <c r="DO39" s="1527"/>
      <c r="DP39" s="1528"/>
      <c r="DQ39" s="1528"/>
      <c r="DR39" s="1528"/>
      <c r="DS39" s="1537"/>
      <c r="DT39" s="1538"/>
      <c r="DU39" s="1528"/>
      <c r="DV39" s="1528"/>
      <c r="DW39" s="1528"/>
      <c r="DX39" s="1537"/>
      <c r="DY39" s="1538"/>
      <c r="DZ39" s="1528"/>
      <c r="EA39" s="1528"/>
      <c r="EB39" s="1528"/>
      <c r="EC39" s="1537"/>
      <c r="ED39" s="1124"/>
      <c r="EE39" s="1125"/>
      <c r="EF39" s="1125"/>
      <c r="EG39" s="1125"/>
      <c r="EH39" s="1125"/>
      <c r="EI39" s="1125"/>
      <c r="EJ39" s="1125"/>
      <c r="EK39" s="1125"/>
      <c r="EL39" s="1126"/>
      <c r="EM39" s="1124"/>
      <c r="EN39" s="1125"/>
      <c r="EO39" s="1125"/>
      <c r="EP39" s="1125"/>
      <c r="EQ39" s="1125"/>
      <c r="ER39" s="1125"/>
      <c r="ES39" s="1125"/>
      <c r="ET39" s="1125"/>
      <c r="EU39" s="1126"/>
      <c r="EV39" s="1124"/>
      <c r="EW39" s="1125"/>
      <c r="EX39" s="1125"/>
      <c r="EY39" s="1127"/>
    </row>
    <row r="40" spans="2:155" ht="12" customHeight="1" x14ac:dyDescent="0.2">
      <c r="B40" s="1519"/>
      <c r="C40" s="1520"/>
      <c r="D40" s="1520"/>
      <c r="E40" s="1520"/>
      <c r="F40" s="1535"/>
      <c r="G40" s="1536"/>
      <c r="H40" s="1520"/>
      <c r="I40" s="1520"/>
      <c r="J40" s="1520"/>
      <c r="K40" s="1535"/>
      <c r="L40" s="1536"/>
      <c r="M40" s="1520"/>
      <c r="N40" s="1520"/>
      <c r="O40" s="1520"/>
      <c r="P40" s="1535"/>
      <c r="Q40" s="1124"/>
      <c r="R40" s="1125"/>
      <c r="S40" s="1125"/>
      <c r="T40" s="1125"/>
      <c r="U40" s="1125"/>
      <c r="V40" s="1125"/>
      <c r="W40" s="1125"/>
      <c r="X40" s="1125"/>
      <c r="Y40" s="1126"/>
      <c r="Z40" s="1124"/>
      <c r="AA40" s="1125"/>
      <c r="AB40" s="1125"/>
      <c r="AC40" s="1125"/>
      <c r="AD40" s="1125"/>
      <c r="AE40" s="1125"/>
      <c r="AF40" s="1125"/>
      <c r="AG40" s="1125"/>
      <c r="AH40" s="1126"/>
      <c r="AI40" s="1124"/>
      <c r="AJ40" s="1125"/>
      <c r="AK40" s="1125"/>
      <c r="AL40" s="1127"/>
      <c r="AO40" s="1519"/>
      <c r="AP40" s="1520"/>
      <c r="AQ40" s="1520"/>
      <c r="AR40" s="1520"/>
      <c r="AS40" s="1535"/>
      <c r="AT40" s="1536"/>
      <c r="AU40" s="1520"/>
      <c r="AV40" s="1520"/>
      <c r="AW40" s="1520"/>
      <c r="AX40" s="1535"/>
      <c r="AY40" s="1536"/>
      <c r="AZ40" s="1520"/>
      <c r="BA40" s="1520"/>
      <c r="BB40" s="1520"/>
      <c r="BC40" s="1535"/>
      <c r="BD40" s="1124"/>
      <c r="BE40" s="1125"/>
      <c r="BF40" s="1125"/>
      <c r="BG40" s="1125"/>
      <c r="BH40" s="1125"/>
      <c r="BI40" s="1125"/>
      <c r="BJ40" s="1125"/>
      <c r="BK40" s="1125"/>
      <c r="BL40" s="1126"/>
      <c r="BM40" s="1124"/>
      <c r="BN40" s="1125"/>
      <c r="BO40" s="1125"/>
      <c r="BP40" s="1125"/>
      <c r="BQ40" s="1125"/>
      <c r="BR40" s="1125"/>
      <c r="BS40" s="1125"/>
      <c r="BT40" s="1125"/>
      <c r="BU40" s="1126"/>
      <c r="BV40" s="1124"/>
      <c r="BW40" s="1125"/>
      <c r="BX40" s="1125"/>
      <c r="BY40" s="1127"/>
      <c r="CB40" s="1519"/>
      <c r="CC40" s="1520"/>
      <c r="CD40" s="1520"/>
      <c r="CE40" s="1520"/>
      <c r="CF40" s="1535"/>
      <c r="CG40" s="1536"/>
      <c r="CH40" s="1520"/>
      <c r="CI40" s="1520"/>
      <c r="CJ40" s="1520"/>
      <c r="CK40" s="1535"/>
      <c r="CL40" s="1536"/>
      <c r="CM40" s="1520"/>
      <c r="CN40" s="1520"/>
      <c r="CO40" s="1520"/>
      <c r="CP40" s="1535"/>
      <c r="CQ40" s="1124"/>
      <c r="CR40" s="1125"/>
      <c r="CS40" s="1125"/>
      <c r="CT40" s="1125"/>
      <c r="CU40" s="1125"/>
      <c r="CV40" s="1125"/>
      <c r="CW40" s="1125"/>
      <c r="CX40" s="1125"/>
      <c r="CY40" s="1126"/>
      <c r="CZ40" s="1124"/>
      <c r="DA40" s="1125"/>
      <c r="DB40" s="1125"/>
      <c r="DC40" s="1125"/>
      <c r="DD40" s="1125"/>
      <c r="DE40" s="1125"/>
      <c r="DF40" s="1125"/>
      <c r="DG40" s="1125"/>
      <c r="DH40" s="1126"/>
      <c r="DI40" s="1124"/>
      <c r="DJ40" s="1125"/>
      <c r="DK40" s="1125"/>
      <c r="DL40" s="1127"/>
      <c r="DO40" s="1519"/>
      <c r="DP40" s="1520"/>
      <c r="DQ40" s="1520"/>
      <c r="DR40" s="1520"/>
      <c r="DS40" s="1535"/>
      <c r="DT40" s="1536"/>
      <c r="DU40" s="1520"/>
      <c r="DV40" s="1520"/>
      <c r="DW40" s="1520"/>
      <c r="DX40" s="1535"/>
      <c r="DY40" s="1536"/>
      <c r="DZ40" s="1520"/>
      <c r="EA40" s="1520"/>
      <c r="EB40" s="1520"/>
      <c r="EC40" s="1535"/>
      <c r="ED40" s="1124"/>
      <c r="EE40" s="1125"/>
      <c r="EF40" s="1125"/>
      <c r="EG40" s="1125"/>
      <c r="EH40" s="1125"/>
      <c r="EI40" s="1125"/>
      <c r="EJ40" s="1125"/>
      <c r="EK40" s="1125"/>
      <c r="EL40" s="1126"/>
      <c r="EM40" s="1124"/>
      <c r="EN40" s="1125"/>
      <c r="EO40" s="1125"/>
      <c r="EP40" s="1125"/>
      <c r="EQ40" s="1125"/>
      <c r="ER40" s="1125"/>
      <c r="ES40" s="1125"/>
      <c r="ET40" s="1125"/>
      <c r="EU40" s="1126"/>
      <c r="EV40" s="1124"/>
      <c r="EW40" s="1125"/>
      <c r="EX40" s="1125"/>
      <c r="EY40" s="1127"/>
    </row>
    <row r="41" spans="2:155" ht="12" customHeight="1" x14ac:dyDescent="0.2">
      <c r="B41" s="1519"/>
      <c r="C41" s="1520"/>
      <c r="D41" s="1520"/>
      <c r="E41" s="1520"/>
      <c r="F41" s="1535"/>
      <c r="G41" s="1536"/>
      <c r="H41" s="1520"/>
      <c r="I41" s="1520"/>
      <c r="J41" s="1520"/>
      <c r="K41" s="1535"/>
      <c r="L41" s="1536"/>
      <c r="M41" s="1520"/>
      <c r="N41" s="1520"/>
      <c r="O41" s="1520"/>
      <c r="P41" s="1535"/>
      <c r="Q41" s="1105"/>
      <c r="R41" s="1106"/>
      <c r="S41" s="1106"/>
      <c r="T41" s="1106"/>
      <c r="U41" s="1106"/>
      <c r="V41" s="1106"/>
      <c r="W41" s="1106"/>
      <c r="X41" s="1106"/>
      <c r="Y41" s="1128"/>
      <c r="Z41" s="1105"/>
      <c r="AA41" s="1106"/>
      <c r="AB41" s="1106"/>
      <c r="AC41" s="1106"/>
      <c r="AD41" s="1106"/>
      <c r="AE41" s="1106"/>
      <c r="AF41" s="1106"/>
      <c r="AG41" s="1106"/>
      <c r="AH41" s="1128"/>
      <c r="AI41" s="1124"/>
      <c r="AJ41" s="1125"/>
      <c r="AK41" s="1125"/>
      <c r="AL41" s="1127"/>
      <c r="AO41" s="1519"/>
      <c r="AP41" s="1520"/>
      <c r="AQ41" s="1520"/>
      <c r="AR41" s="1520"/>
      <c r="AS41" s="1535"/>
      <c r="AT41" s="1536"/>
      <c r="AU41" s="1520"/>
      <c r="AV41" s="1520"/>
      <c r="AW41" s="1520"/>
      <c r="AX41" s="1535"/>
      <c r="AY41" s="1536"/>
      <c r="AZ41" s="1520"/>
      <c r="BA41" s="1520"/>
      <c r="BB41" s="1520"/>
      <c r="BC41" s="1535"/>
      <c r="BD41" s="1105"/>
      <c r="BE41" s="1106"/>
      <c r="BF41" s="1106"/>
      <c r="BG41" s="1106"/>
      <c r="BH41" s="1106"/>
      <c r="BI41" s="1106"/>
      <c r="BJ41" s="1106"/>
      <c r="BK41" s="1106"/>
      <c r="BL41" s="1128"/>
      <c r="BM41" s="1105"/>
      <c r="BN41" s="1106"/>
      <c r="BO41" s="1106"/>
      <c r="BP41" s="1106"/>
      <c r="BQ41" s="1106"/>
      <c r="BR41" s="1106"/>
      <c r="BS41" s="1106"/>
      <c r="BT41" s="1106"/>
      <c r="BU41" s="1128"/>
      <c r="BV41" s="1124"/>
      <c r="BW41" s="1125"/>
      <c r="BX41" s="1125"/>
      <c r="BY41" s="1127"/>
      <c r="CB41" s="1519"/>
      <c r="CC41" s="1520"/>
      <c r="CD41" s="1520"/>
      <c r="CE41" s="1520"/>
      <c r="CF41" s="1535"/>
      <c r="CG41" s="1536"/>
      <c r="CH41" s="1520"/>
      <c r="CI41" s="1520"/>
      <c r="CJ41" s="1520"/>
      <c r="CK41" s="1535"/>
      <c r="CL41" s="1536"/>
      <c r="CM41" s="1520"/>
      <c r="CN41" s="1520"/>
      <c r="CO41" s="1520"/>
      <c r="CP41" s="1535"/>
      <c r="CQ41" s="1105"/>
      <c r="CR41" s="1106"/>
      <c r="CS41" s="1106"/>
      <c r="CT41" s="1106"/>
      <c r="CU41" s="1106"/>
      <c r="CV41" s="1106"/>
      <c r="CW41" s="1106"/>
      <c r="CX41" s="1106"/>
      <c r="CY41" s="1128"/>
      <c r="CZ41" s="1105"/>
      <c r="DA41" s="1106"/>
      <c r="DB41" s="1106"/>
      <c r="DC41" s="1106"/>
      <c r="DD41" s="1106"/>
      <c r="DE41" s="1106"/>
      <c r="DF41" s="1106"/>
      <c r="DG41" s="1106"/>
      <c r="DH41" s="1128"/>
      <c r="DI41" s="1124"/>
      <c r="DJ41" s="1125"/>
      <c r="DK41" s="1125"/>
      <c r="DL41" s="1127"/>
      <c r="DO41" s="1519"/>
      <c r="DP41" s="1520"/>
      <c r="DQ41" s="1520"/>
      <c r="DR41" s="1520"/>
      <c r="DS41" s="1535"/>
      <c r="DT41" s="1536"/>
      <c r="DU41" s="1520"/>
      <c r="DV41" s="1520"/>
      <c r="DW41" s="1520"/>
      <c r="DX41" s="1535"/>
      <c r="DY41" s="1536"/>
      <c r="DZ41" s="1520"/>
      <c r="EA41" s="1520"/>
      <c r="EB41" s="1520"/>
      <c r="EC41" s="1535"/>
      <c r="ED41" s="1105"/>
      <c r="EE41" s="1106"/>
      <c r="EF41" s="1106"/>
      <c r="EG41" s="1106"/>
      <c r="EH41" s="1106"/>
      <c r="EI41" s="1106"/>
      <c r="EJ41" s="1106"/>
      <c r="EK41" s="1106"/>
      <c r="EL41" s="1128"/>
      <c r="EM41" s="1105"/>
      <c r="EN41" s="1106"/>
      <c r="EO41" s="1106"/>
      <c r="EP41" s="1106"/>
      <c r="EQ41" s="1106"/>
      <c r="ER41" s="1106"/>
      <c r="ES41" s="1106"/>
      <c r="ET41" s="1106"/>
      <c r="EU41" s="1128"/>
      <c r="EV41" s="1124"/>
      <c r="EW41" s="1125"/>
      <c r="EX41" s="1125"/>
      <c r="EY41" s="1127"/>
    </row>
    <row r="42" spans="2:155" ht="12" customHeight="1" x14ac:dyDescent="0.2">
      <c r="B42" s="1519"/>
      <c r="C42" s="1520"/>
      <c r="D42" s="1520"/>
      <c r="E42" s="1520"/>
      <c r="F42" s="1535"/>
      <c r="G42" s="1536"/>
      <c r="H42" s="1520"/>
      <c r="I42" s="1520"/>
      <c r="J42" s="1520"/>
      <c r="K42" s="1535"/>
      <c r="L42" s="1536"/>
      <c r="M42" s="1520"/>
      <c r="N42" s="1520"/>
      <c r="O42" s="1520"/>
      <c r="P42" s="1535"/>
      <c r="Q42" s="1102"/>
      <c r="R42" s="1103"/>
      <c r="S42" s="1103"/>
      <c r="T42" s="1103"/>
      <c r="U42" s="1103"/>
      <c r="V42" s="1103"/>
      <c r="W42" s="1103"/>
      <c r="X42" s="1103"/>
      <c r="Y42" s="1123"/>
      <c r="Z42" s="1102"/>
      <c r="AA42" s="1103"/>
      <c r="AB42" s="1103"/>
      <c r="AC42" s="1103"/>
      <c r="AD42" s="1103"/>
      <c r="AE42" s="1103"/>
      <c r="AF42" s="1103"/>
      <c r="AG42" s="1103"/>
      <c r="AH42" s="1123"/>
      <c r="AI42" s="1124"/>
      <c r="AJ42" s="1125"/>
      <c r="AK42" s="1125"/>
      <c r="AL42" s="1127"/>
      <c r="AO42" s="1519"/>
      <c r="AP42" s="1520"/>
      <c r="AQ42" s="1520"/>
      <c r="AR42" s="1520"/>
      <c r="AS42" s="1535"/>
      <c r="AT42" s="1536"/>
      <c r="AU42" s="1520"/>
      <c r="AV42" s="1520"/>
      <c r="AW42" s="1520"/>
      <c r="AX42" s="1535"/>
      <c r="AY42" s="1536"/>
      <c r="AZ42" s="1520"/>
      <c r="BA42" s="1520"/>
      <c r="BB42" s="1520"/>
      <c r="BC42" s="1535"/>
      <c r="BD42" s="1102"/>
      <c r="BE42" s="1103"/>
      <c r="BF42" s="1103"/>
      <c r="BG42" s="1103"/>
      <c r="BH42" s="1103"/>
      <c r="BI42" s="1103"/>
      <c r="BJ42" s="1103"/>
      <c r="BK42" s="1103"/>
      <c r="BL42" s="1123"/>
      <c r="BM42" s="1102"/>
      <c r="BN42" s="1103"/>
      <c r="BO42" s="1103"/>
      <c r="BP42" s="1103"/>
      <c r="BQ42" s="1103"/>
      <c r="BR42" s="1103"/>
      <c r="BS42" s="1103"/>
      <c r="BT42" s="1103"/>
      <c r="BU42" s="1123"/>
      <c r="BV42" s="1124"/>
      <c r="BW42" s="1125"/>
      <c r="BX42" s="1125"/>
      <c r="BY42" s="1127"/>
      <c r="CB42" s="1519"/>
      <c r="CC42" s="1520"/>
      <c r="CD42" s="1520"/>
      <c r="CE42" s="1520"/>
      <c r="CF42" s="1535"/>
      <c r="CG42" s="1536"/>
      <c r="CH42" s="1520"/>
      <c r="CI42" s="1520"/>
      <c r="CJ42" s="1520"/>
      <c r="CK42" s="1535"/>
      <c r="CL42" s="1536"/>
      <c r="CM42" s="1520"/>
      <c r="CN42" s="1520"/>
      <c r="CO42" s="1520"/>
      <c r="CP42" s="1535"/>
      <c r="CQ42" s="1102"/>
      <c r="CR42" s="1103"/>
      <c r="CS42" s="1103"/>
      <c r="CT42" s="1103"/>
      <c r="CU42" s="1103"/>
      <c r="CV42" s="1103"/>
      <c r="CW42" s="1103"/>
      <c r="CX42" s="1103"/>
      <c r="CY42" s="1123"/>
      <c r="CZ42" s="1102"/>
      <c r="DA42" s="1103"/>
      <c r="DB42" s="1103"/>
      <c r="DC42" s="1103"/>
      <c r="DD42" s="1103"/>
      <c r="DE42" s="1103"/>
      <c r="DF42" s="1103"/>
      <c r="DG42" s="1103"/>
      <c r="DH42" s="1123"/>
      <c r="DI42" s="1124"/>
      <c r="DJ42" s="1125"/>
      <c r="DK42" s="1125"/>
      <c r="DL42" s="1127"/>
      <c r="DO42" s="1519"/>
      <c r="DP42" s="1520"/>
      <c r="DQ42" s="1520"/>
      <c r="DR42" s="1520"/>
      <c r="DS42" s="1535"/>
      <c r="DT42" s="1536"/>
      <c r="DU42" s="1520"/>
      <c r="DV42" s="1520"/>
      <c r="DW42" s="1520"/>
      <c r="DX42" s="1535"/>
      <c r="DY42" s="1536"/>
      <c r="DZ42" s="1520"/>
      <c r="EA42" s="1520"/>
      <c r="EB42" s="1520"/>
      <c r="EC42" s="1535"/>
      <c r="ED42" s="1102"/>
      <c r="EE42" s="1103"/>
      <c r="EF42" s="1103"/>
      <c r="EG42" s="1103"/>
      <c r="EH42" s="1103"/>
      <c r="EI42" s="1103"/>
      <c r="EJ42" s="1103"/>
      <c r="EK42" s="1103"/>
      <c r="EL42" s="1123"/>
      <c r="EM42" s="1102"/>
      <c r="EN42" s="1103"/>
      <c r="EO42" s="1103"/>
      <c r="EP42" s="1103"/>
      <c r="EQ42" s="1103"/>
      <c r="ER42" s="1103"/>
      <c r="ES42" s="1103"/>
      <c r="ET42" s="1103"/>
      <c r="EU42" s="1123"/>
      <c r="EV42" s="1124"/>
      <c r="EW42" s="1125"/>
      <c r="EX42" s="1125"/>
      <c r="EY42" s="1127"/>
    </row>
    <row r="43" spans="2:155" ht="12" customHeight="1" x14ac:dyDescent="0.2">
      <c r="B43" s="1519"/>
      <c r="C43" s="1520"/>
      <c r="D43" s="1520"/>
      <c r="E43" s="1520"/>
      <c r="F43" s="1535"/>
      <c r="G43" s="1536"/>
      <c r="H43" s="1520"/>
      <c r="I43" s="1520"/>
      <c r="J43" s="1520"/>
      <c r="K43" s="1535"/>
      <c r="L43" s="1536"/>
      <c r="M43" s="1520"/>
      <c r="N43" s="1520"/>
      <c r="O43" s="1520"/>
      <c r="P43" s="1535"/>
      <c r="Q43" s="1124"/>
      <c r="R43" s="1125"/>
      <c r="S43" s="1125"/>
      <c r="T43" s="1125"/>
      <c r="U43" s="1125"/>
      <c r="V43" s="1125"/>
      <c r="W43" s="1125"/>
      <c r="X43" s="1125"/>
      <c r="Y43" s="1126"/>
      <c r="Z43" s="1124"/>
      <c r="AA43" s="1125"/>
      <c r="AB43" s="1125"/>
      <c r="AC43" s="1125"/>
      <c r="AD43" s="1125"/>
      <c r="AE43" s="1125"/>
      <c r="AF43" s="1125"/>
      <c r="AG43" s="1125"/>
      <c r="AH43" s="1126"/>
      <c r="AI43" s="1124"/>
      <c r="AJ43" s="1125"/>
      <c r="AK43" s="1125"/>
      <c r="AL43" s="1127"/>
      <c r="AO43" s="1519"/>
      <c r="AP43" s="1520"/>
      <c r="AQ43" s="1520"/>
      <c r="AR43" s="1520"/>
      <c r="AS43" s="1535"/>
      <c r="AT43" s="1536"/>
      <c r="AU43" s="1520"/>
      <c r="AV43" s="1520"/>
      <c r="AW43" s="1520"/>
      <c r="AX43" s="1535"/>
      <c r="AY43" s="1536"/>
      <c r="AZ43" s="1520"/>
      <c r="BA43" s="1520"/>
      <c r="BB43" s="1520"/>
      <c r="BC43" s="1535"/>
      <c r="BD43" s="1124"/>
      <c r="BE43" s="1125"/>
      <c r="BF43" s="1125"/>
      <c r="BG43" s="1125"/>
      <c r="BH43" s="1125"/>
      <c r="BI43" s="1125"/>
      <c r="BJ43" s="1125"/>
      <c r="BK43" s="1125"/>
      <c r="BL43" s="1126"/>
      <c r="BM43" s="1124"/>
      <c r="BN43" s="1125"/>
      <c r="BO43" s="1125"/>
      <c r="BP43" s="1125"/>
      <c r="BQ43" s="1125"/>
      <c r="BR43" s="1125"/>
      <c r="BS43" s="1125"/>
      <c r="BT43" s="1125"/>
      <c r="BU43" s="1126"/>
      <c r="BV43" s="1124"/>
      <c r="BW43" s="1125"/>
      <c r="BX43" s="1125"/>
      <c r="BY43" s="1127"/>
      <c r="CB43" s="1519"/>
      <c r="CC43" s="1520"/>
      <c r="CD43" s="1520"/>
      <c r="CE43" s="1520"/>
      <c r="CF43" s="1535"/>
      <c r="CG43" s="1536"/>
      <c r="CH43" s="1520"/>
      <c r="CI43" s="1520"/>
      <c r="CJ43" s="1520"/>
      <c r="CK43" s="1535"/>
      <c r="CL43" s="1536"/>
      <c r="CM43" s="1520"/>
      <c r="CN43" s="1520"/>
      <c r="CO43" s="1520"/>
      <c r="CP43" s="1535"/>
      <c r="CQ43" s="1124"/>
      <c r="CR43" s="1125"/>
      <c r="CS43" s="1125"/>
      <c r="CT43" s="1125"/>
      <c r="CU43" s="1125"/>
      <c r="CV43" s="1125"/>
      <c r="CW43" s="1125"/>
      <c r="CX43" s="1125"/>
      <c r="CY43" s="1126"/>
      <c r="CZ43" s="1124"/>
      <c r="DA43" s="1125"/>
      <c r="DB43" s="1125"/>
      <c r="DC43" s="1125"/>
      <c r="DD43" s="1125"/>
      <c r="DE43" s="1125"/>
      <c r="DF43" s="1125"/>
      <c r="DG43" s="1125"/>
      <c r="DH43" s="1126"/>
      <c r="DI43" s="1124"/>
      <c r="DJ43" s="1125"/>
      <c r="DK43" s="1125"/>
      <c r="DL43" s="1127"/>
      <c r="DO43" s="1519"/>
      <c r="DP43" s="1520"/>
      <c r="DQ43" s="1520"/>
      <c r="DR43" s="1520"/>
      <c r="DS43" s="1535"/>
      <c r="DT43" s="1536"/>
      <c r="DU43" s="1520"/>
      <c r="DV43" s="1520"/>
      <c r="DW43" s="1520"/>
      <c r="DX43" s="1535"/>
      <c r="DY43" s="1536"/>
      <c r="DZ43" s="1520"/>
      <c r="EA43" s="1520"/>
      <c r="EB43" s="1520"/>
      <c r="EC43" s="1535"/>
      <c r="ED43" s="1124"/>
      <c r="EE43" s="1125"/>
      <c r="EF43" s="1125"/>
      <c r="EG43" s="1125"/>
      <c r="EH43" s="1125"/>
      <c r="EI43" s="1125"/>
      <c r="EJ43" s="1125"/>
      <c r="EK43" s="1125"/>
      <c r="EL43" s="1126"/>
      <c r="EM43" s="1124"/>
      <c r="EN43" s="1125"/>
      <c r="EO43" s="1125"/>
      <c r="EP43" s="1125"/>
      <c r="EQ43" s="1125"/>
      <c r="ER43" s="1125"/>
      <c r="ES43" s="1125"/>
      <c r="ET43" s="1125"/>
      <c r="EU43" s="1126"/>
      <c r="EV43" s="1124"/>
      <c r="EW43" s="1125"/>
      <c r="EX43" s="1125"/>
      <c r="EY43" s="1127"/>
    </row>
    <row r="44" spans="2:155" ht="12" customHeight="1" x14ac:dyDescent="0.2">
      <c r="B44" s="1531"/>
      <c r="C44" s="1532"/>
      <c r="D44" s="1532"/>
      <c r="E44" s="1532"/>
      <c r="F44" s="1533"/>
      <c r="G44" s="1534"/>
      <c r="H44" s="1532"/>
      <c r="I44" s="1532"/>
      <c r="J44" s="1532"/>
      <c r="K44" s="1533"/>
      <c r="L44" s="1534"/>
      <c r="M44" s="1532"/>
      <c r="N44" s="1532"/>
      <c r="O44" s="1532"/>
      <c r="P44" s="1533"/>
      <c r="Q44" s="1124"/>
      <c r="R44" s="1125"/>
      <c r="S44" s="1125"/>
      <c r="T44" s="1125"/>
      <c r="U44" s="1125"/>
      <c r="V44" s="1125"/>
      <c r="W44" s="1125"/>
      <c r="X44" s="1125"/>
      <c r="Y44" s="1126"/>
      <c r="Z44" s="1124"/>
      <c r="AA44" s="1125"/>
      <c r="AB44" s="1125"/>
      <c r="AC44" s="1125"/>
      <c r="AD44" s="1125"/>
      <c r="AE44" s="1125"/>
      <c r="AF44" s="1125"/>
      <c r="AG44" s="1125"/>
      <c r="AH44" s="1126"/>
      <c r="AI44" s="1124"/>
      <c r="AJ44" s="1125"/>
      <c r="AK44" s="1125"/>
      <c r="AL44" s="1127"/>
      <c r="AO44" s="1531"/>
      <c r="AP44" s="1532"/>
      <c r="AQ44" s="1532"/>
      <c r="AR44" s="1532"/>
      <c r="AS44" s="1533"/>
      <c r="AT44" s="1534"/>
      <c r="AU44" s="1532"/>
      <c r="AV44" s="1532"/>
      <c r="AW44" s="1532"/>
      <c r="AX44" s="1533"/>
      <c r="AY44" s="1534"/>
      <c r="AZ44" s="1532"/>
      <c r="BA44" s="1532"/>
      <c r="BB44" s="1532"/>
      <c r="BC44" s="1533"/>
      <c r="BD44" s="1124"/>
      <c r="BE44" s="1125"/>
      <c r="BF44" s="1125"/>
      <c r="BG44" s="1125"/>
      <c r="BH44" s="1125"/>
      <c r="BI44" s="1125"/>
      <c r="BJ44" s="1125"/>
      <c r="BK44" s="1125"/>
      <c r="BL44" s="1126"/>
      <c r="BM44" s="1124"/>
      <c r="BN44" s="1125"/>
      <c r="BO44" s="1125"/>
      <c r="BP44" s="1125"/>
      <c r="BQ44" s="1125"/>
      <c r="BR44" s="1125"/>
      <c r="BS44" s="1125"/>
      <c r="BT44" s="1125"/>
      <c r="BU44" s="1126"/>
      <c r="BV44" s="1124"/>
      <c r="BW44" s="1125"/>
      <c r="BX44" s="1125"/>
      <c r="BY44" s="1127"/>
      <c r="CB44" s="1531"/>
      <c r="CC44" s="1532"/>
      <c r="CD44" s="1532"/>
      <c r="CE44" s="1532"/>
      <c r="CF44" s="1533"/>
      <c r="CG44" s="1534"/>
      <c r="CH44" s="1532"/>
      <c r="CI44" s="1532"/>
      <c r="CJ44" s="1532"/>
      <c r="CK44" s="1533"/>
      <c r="CL44" s="1534"/>
      <c r="CM44" s="1532"/>
      <c r="CN44" s="1532"/>
      <c r="CO44" s="1532"/>
      <c r="CP44" s="1533"/>
      <c r="CQ44" s="1124"/>
      <c r="CR44" s="1125"/>
      <c r="CS44" s="1125"/>
      <c r="CT44" s="1125"/>
      <c r="CU44" s="1125"/>
      <c r="CV44" s="1125"/>
      <c r="CW44" s="1125"/>
      <c r="CX44" s="1125"/>
      <c r="CY44" s="1126"/>
      <c r="CZ44" s="1124"/>
      <c r="DA44" s="1125"/>
      <c r="DB44" s="1125"/>
      <c r="DC44" s="1125"/>
      <c r="DD44" s="1125"/>
      <c r="DE44" s="1125"/>
      <c r="DF44" s="1125"/>
      <c r="DG44" s="1125"/>
      <c r="DH44" s="1126"/>
      <c r="DI44" s="1124"/>
      <c r="DJ44" s="1125"/>
      <c r="DK44" s="1125"/>
      <c r="DL44" s="1127"/>
      <c r="DO44" s="1531"/>
      <c r="DP44" s="1532"/>
      <c r="DQ44" s="1532"/>
      <c r="DR44" s="1532"/>
      <c r="DS44" s="1533"/>
      <c r="DT44" s="1534"/>
      <c r="DU44" s="1532"/>
      <c r="DV44" s="1532"/>
      <c r="DW44" s="1532"/>
      <c r="DX44" s="1533"/>
      <c r="DY44" s="1534"/>
      <c r="DZ44" s="1532"/>
      <c r="EA44" s="1532"/>
      <c r="EB44" s="1532"/>
      <c r="EC44" s="1533"/>
      <c r="ED44" s="1124"/>
      <c r="EE44" s="1125"/>
      <c r="EF44" s="1125"/>
      <c r="EG44" s="1125"/>
      <c r="EH44" s="1125"/>
      <c r="EI44" s="1125"/>
      <c r="EJ44" s="1125"/>
      <c r="EK44" s="1125"/>
      <c r="EL44" s="1126"/>
      <c r="EM44" s="1124"/>
      <c r="EN44" s="1125"/>
      <c r="EO44" s="1125"/>
      <c r="EP44" s="1125"/>
      <c r="EQ44" s="1125"/>
      <c r="ER44" s="1125"/>
      <c r="ES44" s="1125"/>
      <c r="ET44" s="1125"/>
      <c r="EU44" s="1126"/>
      <c r="EV44" s="1124"/>
      <c r="EW44" s="1125"/>
      <c r="EX44" s="1125"/>
      <c r="EY44" s="1127"/>
    </row>
    <row r="45" spans="2:155" ht="12" customHeight="1" x14ac:dyDescent="0.2">
      <c r="B45" s="1120"/>
      <c r="C45" s="1106"/>
      <c r="D45" s="1106"/>
      <c r="E45" s="1106"/>
      <c r="F45" s="1106"/>
      <c r="G45" s="1106"/>
      <c r="H45" s="1106"/>
      <c r="I45" s="1121" t="s">
        <v>3064</v>
      </c>
      <c r="J45" s="1106"/>
      <c r="K45" s="1106"/>
      <c r="L45" s="1106"/>
      <c r="M45" s="1106"/>
      <c r="N45" s="1106"/>
      <c r="O45" s="1106"/>
      <c r="P45" s="1128"/>
      <c r="Q45" s="1105"/>
      <c r="R45" s="1106"/>
      <c r="S45" s="1106"/>
      <c r="T45" s="1106"/>
      <c r="U45" s="1106"/>
      <c r="V45" s="1106"/>
      <c r="W45" s="1106"/>
      <c r="X45" s="1106"/>
      <c r="Y45" s="1128"/>
      <c r="Z45" s="1105"/>
      <c r="AA45" s="1106"/>
      <c r="AB45" s="1106"/>
      <c r="AC45" s="1106"/>
      <c r="AD45" s="1106"/>
      <c r="AE45" s="1106"/>
      <c r="AF45" s="1106"/>
      <c r="AG45" s="1106"/>
      <c r="AH45" s="1128"/>
      <c r="AI45" s="1124"/>
      <c r="AJ45" s="1125"/>
      <c r="AK45" s="1125"/>
      <c r="AL45" s="1127"/>
      <c r="AO45" s="1120"/>
      <c r="AP45" s="1106"/>
      <c r="AQ45" s="1106"/>
      <c r="AR45" s="1106"/>
      <c r="AS45" s="1106"/>
      <c r="AT45" s="1106"/>
      <c r="AU45" s="1106"/>
      <c r="AV45" s="1121" t="s">
        <v>3064</v>
      </c>
      <c r="AW45" s="1106"/>
      <c r="AX45" s="1106"/>
      <c r="AY45" s="1106"/>
      <c r="AZ45" s="1106"/>
      <c r="BA45" s="1106"/>
      <c r="BB45" s="1106"/>
      <c r="BC45" s="1128"/>
      <c r="BD45" s="1105"/>
      <c r="BE45" s="1106"/>
      <c r="BF45" s="1106"/>
      <c r="BG45" s="1106"/>
      <c r="BH45" s="1106"/>
      <c r="BI45" s="1106"/>
      <c r="BJ45" s="1106"/>
      <c r="BK45" s="1106"/>
      <c r="BL45" s="1128"/>
      <c r="BM45" s="1105"/>
      <c r="BN45" s="1106"/>
      <c r="BO45" s="1106"/>
      <c r="BP45" s="1106"/>
      <c r="BQ45" s="1106"/>
      <c r="BR45" s="1106"/>
      <c r="BS45" s="1106"/>
      <c r="BT45" s="1106"/>
      <c r="BU45" s="1128"/>
      <c r="BV45" s="1124"/>
      <c r="BW45" s="1125"/>
      <c r="BX45" s="1125"/>
      <c r="BY45" s="1127"/>
      <c r="CB45" s="1120"/>
      <c r="CC45" s="1106"/>
      <c r="CD45" s="1106"/>
      <c r="CE45" s="1106"/>
      <c r="CF45" s="1106"/>
      <c r="CG45" s="1106"/>
      <c r="CH45" s="1106"/>
      <c r="CI45" s="1121" t="s">
        <v>3064</v>
      </c>
      <c r="CJ45" s="1106"/>
      <c r="CK45" s="1106"/>
      <c r="CL45" s="1106"/>
      <c r="CM45" s="1106"/>
      <c r="CN45" s="1106"/>
      <c r="CO45" s="1106"/>
      <c r="CP45" s="1128"/>
      <c r="CQ45" s="1105"/>
      <c r="CR45" s="1106"/>
      <c r="CS45" s="1106"/>
      <c r="CT45" s="1106"/>
      <c r="CU45" s="1106"/>
      <c r="CV45" s="1106"/>
      <c r="CW45" s="1106"/>
      <c r="CX45" s="1106"/>
      <c r="CY45" s="1128"/>
      <c r="CZ45" s="1105"/>
      <c r="DA45" s="1106"/>
      <c r="DB45" s="1106"/>
      <c r="DC45" s="1106"/>
      <c r="DD45" s="1106"/>
      <c r="DE45" s="1106"/>
      <c r="DF45" s="1106"/>
      <c r="DG45" s="1106"/>
      <c r="DH45" s="1128"/>
      <c r="DI45" s="1124"/>
      <c r="DJ45" s="1125"/>
      <c r="DK45" s="1125"/>
      <c r="DL45" s="1127"/>
      <c r="DO45" s="1120"/>
      <c r="DP45" s="1106"/>
      <c r="DQ45" s="1106"/>
      <c r="DR45" s="1106"/>
      <c r="DS45" s="1106"/>
      <c r="DT45" s="1106"/>
      <c r="DU45" s="1106"/>
      <c r="DV45" s="1121" t="s">
        <v>3064</v>
      </c>
      <c r="DW45" s="1106"/>
      <c r="DX45" s="1106"/>
      <c r="DY45" s="1106"/>
      <c r="DZ45" s="1106"/>
      <c r="EA45" s="1106"/>
      <c r="EB45" s="1106"/>
      <c r="EC45" s="1128"/>
      <c r="ED45" s="1105"/>
      <c r="EE45" s="1106"/>
      <c r="EF45" s="1106"/>
      <c r="EG45" s="1106"/>
      <c r="EH45" s="1106"/>
      <c r="EI45" s="1106"/>
      <c r="EJ45" s="1106"/>
      <c r="EK45" s="1106"/>
      <c r="EL45" s="1128"/>
      <c r="EM45" s="1105"/>
      <c r="EN45" s="1106"/>
      <c r="EO45" s="1106"/>
      <c r="EP45" s="1106"/>
      <c r="EQ45" s="1106"/>
      <c r="ER45" s="1106"/>
      <c r="ES45" s="1106"/>
      <c r="ET45" s="1106"/>
      <c r="EU45" s="1128"/>
      <c r="EV45" s="1124"/>
      <c r="EW45" s="1125"/>
      <c r="EX45" s="1125"/>
      <c r="EY45" s="1127"/>
    </row>
    <row r="46" spans="2:155" ht="12" customHeight="1" x14ac:dyDescent="0.2">
      <c r="B46" s="1129"/>
      <c r="C46" s="1103"/>
      <c r="D46" s="1103"/>
      <c r="E46" s="1103"/>
      <c r="F46" s="1103"/>
      <c r="G46" s="1103"/>
      <c r="H46" s="1103"/>
      <c r="I46" s="1103"/>
      <c r="J46" s="1103"/>
      <c r="K46" s="1103"/>
      <c r="L46" s="1103"/>
      <c r="M46" s="1103"/>
      <c r="N46" s="1103"/>
      <c r="O46" s="1103"/>
      <c r="P46" s="1123"/>
      <c r="Q46" s="1102"/>
      <c r="R46" s="1103"/>
      <c r="S46" s="1103"/>
      <c r="T46" s="1103"/>
      <c r="U46" s="1103"/>
      <c r="V46" s="1103"/>
      <c r="W46" s="1103"/>
      <c r="X46" s="1103"/>
      <c r="Y46" s="1123"/>
      <c r="Z46" s="1102"/>
      <c r="AA46" s="1103"/>
      <c r="AB46" s="1103"/>
      <c r="AC46" s="1103"/>
      <c r="AD46" s="1103"/>
      <c r="AE46" s="1103"/>
      <c r="AF46" s="1103"/>
      <c r="AG46" s="1103"/>
      <c r="AH46" s="1123"/>
      <c r="AI46" s="1124"/>
      <c r="AJ46" s="1125"/>
      <c r="AK46" s="1125"/>
      <c r="AL46" s="1127"/>
      <c r="AO46" s="1129"/>
      <c r="AP46" s="1103"/>
      <c r="AQ46" s="1103"/>
      <c r="AR46" s="1103"/>
      <c r="AS46" s="1103"/>
      <c r="AT46" s="1103"/>
      <c r="AU46" s="1103"/>
      <c r="AV46" s="1103"/>
      <c r="AW46" s="1103"/>
      <c r="AX46" s="1103"/>
      <c r="AY46" s="1103"/>
      <c r="AZ46" s="1103"/>
      <c r="BA46" s="1103"/>
      <c r="BB46" s="1103"/>
      <c r="BC46" s="1123"/>
      <c r="BD46" s="1102"/>
      <c r="BE46" s="1103"/>
      <c r="BF46" s="1103"/>
      <c r="BG46" s="1103"/>
      <c r="BH46" s="1103"/>
      <c r="BI46" s="1103"/>
      <c r="BJ46" s="1103"/>
      <c r="BK46" s="1103"/>
      <c r="BL46" s="1123"/>
      <c r="BM46" s="1102"/>
      <c r="BN46" s="1103"/>
      <c r="BO46" s="1103"/>
      <c r="BP46" s="1103"/>
      <c r="BQ46" s="1103"/>
      <c r="BR46" s="1103"/>
      <c r="BS46" s="1103"/>
      <c r="BT46" s="1103"/>
      <c r="BU46" s="1123"/>
      <c r="BV46" s="1124"/>
      <c r="BW46" s="1125"/>
      <c r="BX46" s="1125"/>
      <c r="BY46" s="1127"/>
      <c r="CB46" s="1129"/>
      <c r="CC46" s="1103"/>
      <c r="CD46" s="1103"/>
      <c r="CE46" s="1103"/>
      <c r="CF46" s="1103"/>
      <c r="CG46" s="1103"/>
      <c r="CH46" s="1103"/>
      <c r="CI46" s="1103"/>
      <c r="CJ46" s="1103"/>
      <c r="CK46" s="1103"/>
      <c r="CL46" s="1103"/>
      <c r="CM46" s="1103"/>
      <c r="CN46" s="1103"/>
      <c r="CO46" s="1103"/>
      <c r="CP46" s="1123"/>
      <c r="CQ46" s="1102"/>
      <c r="CR46" s="1103"/>
      <c r="CS46" s="1103"/>
      <c r="CT46" s="1103"/>
      <c r="CU46" s="1103"/>
      <c r="CV46" s="1103"/>
      <c r="CW46" s="1103"/>
      <c r="CX46" s="1103"/>
      <c r="CY46" s="1123"/>
      <c r="CZ46" s="1102"/>
      <c r="DA46" s="1103"/>
      <c r="DB46" s="1103"/>
      <c r="DC46" s="1103"/>
      <c r="DD46" s="1103"/>
      <c r="DE46" s="1103"/>
      <c r="DF46" s="1103"/>
      <c r="DG46" s="1103"/>
      <c r="DH46" s="1123"/>
      <c r="DI46" s="1124"/>
      <c r="DJ46" s="1125"/>
      <c r="DK46" s="1125"/>
      <c r="DL46" s="1127"/>
      <c r="DO46" s="1129"/>
      <c r="DP46" s="1103"/>
      <c r="DQ46" s="1103"/>
      <c r="DR46" s="1103"/>
      <c r="DS46" s="1103"/>
      <c r="DT46" s="1103"/>
      <c r="DU46" s="1103"/>
      <c r="DV46" s="1103"/>
      <c r="DW46" s="1103"/>
      <c r="DX46" s="1103"/>
      <c r="DY46" s="1103"/>
      <c r="DZ46" s="1103"/>
      <c r="EA46" s="1103"/>
      <c r="EB46" s="1103"/>
      <c r="EC46" s="1123"/>
      <c r="ED46" s="1102"/>
      <c r="EE46" s="1103"/>
      <c r="EF46" s="1103"/>
      <c r="EG46" s="1103"/>
      <c r="EH46" s="1103"/>
      <c r="EI46" s="1103"/>
      <c r="EJ46" s="1103"/>
      <c r="EK46" s="1103"/>
      <c r="EL46" s="1123"/>
      <c r="EM46" s="1102"/>
      <c r="EN46" s="1103"/>
      <c r="EO46" s="1103"/>
      <c r="EP46" s="1103"/>
      <c r="EQ46" s="1103"/>
      <c r="ER46" s="1103"/>
      <c r="ES46" s="1103"/>
      <c r="ET46" s="1103"/>
      <c r="EU46" s="1123"/>
      <c r="EV46" s="1124"/>
      <c r="EW46" s="1125"/>
      <c r="EX46" s="1125"/>
      <c r="EY46" s="1127"/>
    </row>
    <row r="47" spans="2:155" ht="12" customHeight="1" x14ac:dyDescent="0.2">
      <c r="B47" s="1130"/>
      <c r="C47" s="1125"/>
      <c r="D47" s="1125"/>
      <c r="E47" s="1125"/>
      <c r="F47" s="1125"/>
      <c r="G47" s="1125"/>
      <c r="H47" s="1125"/>
      <c r="I47" s="1125"/>
      <c r="J47" s="1125"/>
      <c r="K47" s="1125"/>
      <c r="L47" s="1125"/>
      <c r="M47" s="1125"/>
      <c r="N47" s="1125"/>
      <c r="O47" s="1125"/>
      <c r="P47" s="1126"/>
      <c r="Q47" s="1124"/>
      <c r="R47" s="1125"/>
      <c r="S47" s="1125"/>
      <c r="T47" s="1125"/>
      <c r="U47" s="1125"/>
      <c r="V47" s="1125"/>
      <c r="W47" s="1125"/>
      <c r="X47" s="1125"/>
      <c r="Y47" s="1126"/>
      <c r="Z47" s="1124"/>
      <c r="AA47" s="1125"/>
      <c r="AB47" s="1125"/>
      <c r="AC47" s="1125"/>
      <c r="AD47" s="1125"/>
      <c r="AE47" s="1125"/>
      <c r="AF47" s="1125"/>
      <c r="AG47" s="1125"/>
      <c r="AH47" s="1126"/>
      <c r="AI47" s="1124"/>
      <c r="AJ47" s="1125"/>
      <c r="AK47" s="1125"/>
      <c r="AL47" s="1127"/>
      <c r="AO47" s="1130"/>
      <c r="AP47" s="1125"/>
      <c r="AQ47" s="1125"/>
      <c r="AR47" s="1125"/>
      <c r="AS47" s="1125"/>
      <c r="AT47" s="1125"/>
      <c r="AU47" s="1125"/>
      <c r="AV47" s="1125"/>
      <c r="AW47" s="1125"/>
      <c r="AX47" s="1125"/>
      <c r="AY47" s="1125"/>
      <c r="AZ47" s="1125"/>
      <c r="BA47" s="1125"/>
      <c r="BB47" s="1125"/>
      <c r="BC47" s="1126"/>
      <c r="BD47" s="1124"/>
      <c r="BE47" s="1125"/>
      <c r="BF47" s="1125"/>
      <c r="BG47" s="1125"/>
      <c r="BH47" s="1125"/>
      <c r="BI47" s="1125"/>
      <c r="BJ47" s="1125"/>
      <c r="BK47" s="1125"/>
      <c r="BL47" s="1126"/>
      <c r="BM47" s="1124"/>
      <c r="BN47" s="1125"/>
      <c r="BO47" s="1125"/>
      <c r="BP47" s="1125"/>
      <c r="BQ47" s="1125"/>
      <c r="BR47" s="1125"/>
      <c r="BS47" s="1125"/>
      <c r="BT47" s="1125"/>
      <c r="BU47" s="1126"/>
      <c r="BV47" s="1124"/>
      <c r="BW47" s="1125"/>
      <c r="BX47" s="1125"/>
      <c r="BY47" s="1127"/>
      <c r="CB47" s="1130"/>
      <c r="CC47" s="1125"/>
      <c r="CD47" s="1125"/>
      <c r="CE47" s="1125"/>
      <c r="CF47" s="1125"/>
      <c r="CG47" s="1125"/>
      <c r="CH47" s="1125"/>
      <c r="CI47" s="1125"/>
      <c r="CJ47" s="1125"/>
      <c r="CK47" s="1125"/>
      <c r="CL47" s="1125"/>
      <c r="CM47" s="1125"/>
      <c r="CN47" s="1125"/>
      <c r="CO47" s="1125"/>
      <c r="CP47" s="1126"/>
      <c r="CQ47" s="1124"/>
      <c r="CR47" s="1125"/>
      <c r="CS47" s="1125"/>
      <c r="CT47" s="1125"/>
      <c r="CU47" s="1125"/>
      <c r="CV47" s="1125"/>
      <c r="CW47" s="1125"/>
      <c r="CX47" s="1125"/>
      <c r="CY47" s="1126"/>
      <c r="CZ47" s="1124"/>
      <c r="DA47" s="1125"/>
      <c r="DB47" s="1125"/>
      <c r="DC47" s="1125"/>
      <c r="DD47" s="1125"/>
      <c r="DE47" s="1125"/>
      <c r="DF47" s="1125"/>
      <c r="DG47" s="1125"/>
      <c r="DH47" s="1126"/>
      <c r="DI47" s="1124"/>
      <c r="DJ47" s="1125"/>
      <c r="DK47" s="1125"/>
      <c r="DL47" s="1127"/>
      <c r="DO47" s="1130"/>
      <c r="DP47" s="1125"/>
      <c r="DQ47" s="1125"/>
      <c r="DR47" s="1125"/>
      <c r="DS47" s="1125"/>
      <c r="DT47" s="1125"/>
      <c r="DU47" s="1125"/>
      <c r="DV47" s="1125"/>
      <c r="DW47" s="1125"/>
      <c r="DX47" s="1125"/>
      <c r="DY47" s="1125"/>
      <c r="DZ47" s="1125"/>
      <c r="EA47" s="1125"/>
      <c r="EB47" s="1125"/>
      <c r="EC47" s="1126"/>
      <c r="ED47" s="1124"/>
      <c r="EE47" s="1125"/>
      <c r="EF47" s="1125"/>
      <c r="EG47" s="1125"/>
      <c r="EH47" s="1125"/>
      <c r="EI47" s="1125"/>
      <c r="EJ47" s="1125"/>
      <c r="EK47" s="1125"/>
      <c r="EL47" s="1126"/>
      <c r="EM47" s="1124"/>
      <c r="EN47" s="1125"/>
      <c r="EO47" s="1125"/>
      <c r="EP47" s="1125"/>
      <c r="EQ47" s="1125"/>
      <c r="ER47" s="1125"/>
      <c r="ES47" s="1125"/>
      <c r="ET47" s="1125"/>
      <c r="EU47" s="1126"/>
      <c r="EV47" s="1124"/>
      <c r="EW47" s="1125"/>
      <c r="EX47" s="1125"/>
      <c r="EY47" s="1127"/>
    </row>
    <row r="48" spans="2:155" ht="12" customHeight="1" x14ac:dyDescent="0.2">
      <c r="B48" s="1130"/>
      <c r="C48" s="1125"/>
      <c r="D48" s="1125"/>
      <c r="E48" s="1125"/>
      <c r="F48" s="1125"/>
      <c r="G48" s="1125"/>
      <c r="H48" s="1125"/>
      <c r="I48" s="1125"/>
      <c r="J48" s="1125"/>
      <c r="K48" s="1125"/>
      <c r="L48" s="1125"/>
      <c r="M48" s="1125"/>
      <c r="N48" s="1125"/>
      <c r="O48" s="1125"/>
      <c r="P48" s="1126"/>
      <c r="Q48" s="1124"/>
      <c r="R48" s="1125"/>
      <c r="S48" s="1125"/>
      <c r="T48" s="1125"/>
      <c r="U48" s="1125"/>
      <c r="V48" s="1125"/>
      <c r="W48" s="1125"/>
      <c r="X48" s="1125"/>
      <c r="Y48" s="1126"/>
      <c r="Z48" s="1124"/>
      <c r="AA48" s="1125"/>
      <c r="AB48" s="1125"/>
      <c r="AC48" s="1125"/>
      <c r="AD48" s="1125"/>
      <c r="AE48" s="1125"/>
      <c r="AF48" s="1125"/>
      <c r="AG48" s="1125"/>
      <c r="AH48" s="1126"/>
      <c r="AI48" s="1124"/>
      <c r="AJ48" s="1125"/>
      <c r="AK48" s="1125"/>
      <c r="AL48" s="1127"/>
      <c r="AO48" s="1130"/>
      <c r="AP48" s="1125"/>
      <c r="AQ48" s="1125"/>
      <c r="AR48" s="1125"/>
      <c r="AS48" s="1125"/>
      <c r="AT48" s="1125"/>
      <c r="AU48" s="1125"/>
      <c r="AV48" s="1125"/>
      <c r="AW48" s="1125"/>
      <c r="AX48" s="1125"/>
      <c r="AY48" s="1125"/>
      <c r="AZ48" s="1125"/>
      <c r="BA48" s="1125"/>
      <c r="BB48" s="1125"/>
      <c r="BC48" s="1126"/>
      <c r="BD48" s="1124"/>
      <c r="BE48" s="1125"/>
      <c r="BF48" s="1125"/>
      <c r="BG48" s="1125"/>
      <c r="BH48" s="1125"/>
      <c r="BI48" s="1125"/>
      <c r="BJ48" s="1125"/>
      <c r="BK48" s="1125"/>
      <c r="BL48" s="1126"/>
      <c r="BM48" s="1124"/>
      <c r="BN48" s="1125"/>
      <c r="BO48" s="1125"/>
      <c r="BP48" s="1125"/>
      <c r="BQ48" s="1125"/>
      <c r="BR48" s="1125"/>
      <c r="BS48" s="1125"/>
      <c r="BT48" s="1125"/>
      <c r="BU48" s="1126"/>
      <c r="BV48" s="1124"/>
      <c r="BW48" s="1125"/>
      <c r="BX48" s="1125"/>
      <c r="BY48" s="1127"/>
      <c r="CB48" s="1130"/>
      <c r="CC48" s="1125"/>
      <c r="CD48" s="1125"/>
      <c r="CE48" s="1125"/>
      <c r="CF48" s="1125"/>
      <c r="CG48" s="1125"/>
      <c r="CH48" s="1125"/>
      <c r="CI48" s="1125"/>
      <c r="CJ48" s="1125"/>
      <c r="CK48" s="1125"/>
      <c r="CL48" s="1125"/>
      <c r="CM48" s="1125"/>
      <c r="CN48" s="1125"/>
      <c r="CO48" s="1125"/>
      <c r="CP48" s="1126"/>
      <c r="CQ48" s="1124"/>
      <c r="CR48" s="1125"/>
      <c r="CS48" s="1125"/>
      <c r="CT48" s="1125"/>
      <c r="CU48" s="1125"/>
      <c r="CV48" s="1125"/>
      <c r="CW48" s="1125"/>
      <c r="CX48" s="1125"/>
      <c r="CY48" s="1126"/>
      <c r="CZ48" s="1124"/>
      <c r="DA48" s="1125"/>
      <c r="DB48" s="1125"/>
      <c r="DC48" s="1125"/>
      <c r="DD48" s="1125"/>
      <c r="DE48" s="1125"/>
      <c r="DF48" s="1125"/>
      <c r="DG48" s="1125"/>
      <c r="DH48" s="1126"/>
      <c r="DI48" s="1124"/>
      <c r="DJ48" s="1125"/>
      <c r="DK48" s="1125"/>
      <c r="DL48" s="1127"/>
      <c r="DO48" s="1130"/>
      <c r="DP48" s="1125"/>
      <c r="DQ48" s="1125"/>
      <c r="DR48" s="1125"/>
      <c r="DS48" s="1125"/>
      <c r="DT48" s="1125"/>
      <c r="DU48" s="1125"/>
      <c r="DV48" s="1125"/>
      <c r="DW48" s="1125"/>
      <c r="DX48" s="1125"/>
      <c r="DY48" s="1125"/>
      <c r="DZ48" s="1125"/>
      <c r="EA48" s="1125"/>
      <c r="EB48" s="1125"/>
      <c r="EC48" s="1126"/>
      <c r="ED48" s="1124"/>
      <c r="EE48" s="1125"/>
      <c r="EF48" s="1125"/>
      <c r="EG48" s="1125"/>
      <c r="EH48" s="1125"/>
      <c r="EI48" s="1125"/>
      <c r="EJ48" s="1125"/>
      <c r="EK48" s="1125"/>
      <c r="EL48" s="1126"/>
      <c r="EM48" s="1124"/>
      <c r="EN48" s="1125"/>
      <c r="EO48" s="1125"/>
      <c r="EP48" s="1125"/>
      <c r="EQ48" s="1125"/>
      <c r="ER48" s="1125"/>
      <c r="ES48" s="1125"/>
      <c r="ET48" s="1125"/>
      <c r="EU48" s="1126"/>
      <c r="EV48" s="1124"/>
      <c r="EW48" s="1125"/>
      <c r="EX48" s="1125"/>
      <c r="EY48" s="1127"/>
    </row>
    <row r="49" spans="2:155" ht="12" customHeight="1" x14ac:dyDescent="0.2">
      <c r="B49" s="1120"/>
      <c r="C49" s="1106"/>
      <c r="D49" s="1106"/>
      <c r="E49" s="1106"/>
      <c r="F49" s="1106"/>
      <c r="G49" s="1106"/>
      <c r="H49" s="1106"/>
      <c r="I49" s="1106"/>
      <c r="J49" s="1106"/>
      <c r="K49" s="1106"/>
      <c r="L49" s="1106"/>
      <c r="M49" s="1106"/>
      <c r="N49" s="1106"/>
      <c r="O49" s="1106"/>
      <c r="P49" s="1128"/>
      <c r="Q49" s="1105"/>
      <c r="R49" s="1106"/>
      <c r="S49" s="1106"/>
      <c r="T49" s="1106"/>
      <c r="U49" s="1106"/>
      <c r="V49" s="1106"/>
      <c r="W49" s="1106"/>
      <c r="X49" s="1106"/>
      <c r="Y49" s="1128"/>
      <c r="Z49" s="1105"/>
      <c r="AA49" s="1106"/>
      <c r="AB49" s="1106"/>
      <c r="AC49" s="1106"/>
      <c r="AD49" s="1106"/>
      <c r="AE49" s="1106"/>
      <c r="AF49" s="1106"/>
      <c r="AG49" s="1106"/>
      <c r="AH49" s="1128"/>
      <c r="AI49" s="1105"/>
      <c r="AJ49" s="1106"/>
      <c r="AK49" s="1106"/>
      <c r="AL49" s="1107"/>
      <c r="AO49" s="1120"/>
      <c r="AP49" s="1106"/>
      <c r="AQ49" s="1106"/>
      <c r="AR49" s="1106"/>
      <c r="AS49" s="1106"/>
      <c r="AT49" s="1106"/>
      <c r="AU49" s="1106"/>
      <c r="AV49" s="1106"/>
      <c r="AW49" s="1106"/>
      <c r="AX49" s="1106"/>
      <c r="AY49" s="1106"/>
      <c r="AZ49" s="1106"/>
      <c r="BA49" s="1106"/>
      <c r="BB49" s="1106"/>
      <c r="BC49" s="1128"/>
      <c r="BD49" s="1105"/>
      <c r="BE49" s="1106"/>
      <c r="BF49" s="1106"/>
      <c r="BG49" s="1106"/>
      <c r="BH49" s="1106"/>
      <c r="BI49" s="1106"/>
      <c r="BJ49" s="1106"/>
      <c r="BK49" s="1106"/>
      <c r="BL49" s="1128"/>
      <c r="BM49" s="1105"/>
      <c r="BN49" s="1106"/>
      <c r="BO49" s="1106"/>
      <c r="BP49" s="1106"/>
      <c r="BQ49" s="1106"/>
      <c r="BR49" s="1106"/>
      <c r="BS49" s="1106"/>
      <c r="BT49" s="1106"/>
      <c r="BU49" s="1128"/>
      <c r="BV49" s="1105"/>
      <c r="BW49" s="1106"/>
      <c r="BX49" s="1106"/>
      <c r="BY49" s="1107"/>
      <c r="CB49" s="1120"/>
      <c r="CC49" s="1106"/>
      <c r="CD49" s="1106"/>
      <c r="CE49" s="1106"/>
      <c r="CF49" s="1106"/>
      <c r="CG49" s="1106"/>
      <c r="CH49" s="1106"/>
      <c r="CI49" s="1106"/>
      <c r="CJ49" s="1106"/>
      <c r="CK49" s="1106"/>
      <c r="CL49" s="1106"/>
      <c r="CM49" s="1106"/>
      <c r="CN49" s="1106"/>
      <c r="CO49" s="1106"/>
      <c r="CP49" s="1128"/>
      <c r="CQ49" s="1105"/>
      <c r="CR49" s="1106"/>
      <c r="CS49" s="1106"/>
      <c r="CT49" s="1106"/>
      <c r="CU49" s="1106"/>
      <c r="CV49" s="1106"/>
      <c r="CW49" s="1106"/>
      <c r="CX49" s="1106"/>
      <c r="CY49" s="1128"/>
      <c r="CZ49" s="1105"/>
      <c r="DA49" s="1106"/>
      <c r="DB49" s="1106"/>
      <c r="DC49" s="1106"/>
      <c r="DD49" s="1106"/>
      <c r="DE49" s="1106"/>
      <c r="DF49" s="1106"/>
      <c r="DG49" s="1106"/>
      <c r="DH49" s="1128"/>
      <c r="DI49" s="1105"/>
      <c r="DJ49" s="1106"/>
      <c r="DK49" s="1106"/>
      <c r="DL49" s="1107"/>
      <c r="DO49" s="1120"/>
      <c r="DP49" s="1106"/>
      <c r="DQ49" s="1106"/>
      <c r="DR49" s="1106"/>
      <c r="DS49" s="1106"/>
      <c r="DT49" s="1106"/>
      <c r="DU49" s="1106"/>
      <c r="DV49" s="1106"/>
      <c r="DW49" s="1106"/>
      <c r="DX49" s="1106"/>
      <c r="DY49" s="1106"/>
      <c r="DZ49" s="1106"/>
      <c r="EA49" s="1106"/>
      <c r="EB49" s="1106"/>
      <c r="EC49" s="1128"/>
      <c r="ED49" s="1105"/>
      <c r="EE49" s="1106"/>
      <c r="EF49" s="1106"/>
      <c r="EG49" s="1106"/>
      <c r="EH49" s="1106"/>
      <c r="EI49" s="1106"/>
      <c r="EJ49" s="1106"/>
      <c r="EK49" s="1106"/>
      <c r="EL49" s="1128"/>
      <c r="EM49" s="1105"/>
      <c r="EN49" s="1106"/>
      <c r="EO49" s="1106"/>
      <c r="EP49" s="1106"/>
      <c r="EQ49" s="1106"/>
      <c r="ER49" s="1106"/>
      <c r="ES49" s="1106"/>
      <c r="ET49" s="1106"/>
      <c r="EU49" s="1128"/>
      <c r="EV49" s="1105"/>
      <c r="EW49" s="1106"/>
      <c r="EX49" s="1106"/>
      <c r="EY49" s="1107"/>
    </row>
    <row r="50" spans="2:155" ht="12" customHeight="1" x14ac:dyDescent="0.2">
      <c r="B50" s="1097" t="s">
        <v>3065</v>
      </c>
      <c r="C50" s="1098"/>
      <c r="D50" s="1098"/>
      <c r="E50" s="1098"/>
      <c r="F50" s="1098"/>
      <c r="G50" s="1098"/>
      <c r="H50" s="1098"/>
      <c r="I50" s="1098"/>
      <c r="J50" s="1098"/>
      <c r="K50" s="1098"/>
      <c r="L50" s="1098"/>
      <c r="M50" s="1098"/>
      <c r="N50" s="1098"/>
      <c r="O50" s="1098"/>
      <c r="P50" s="1098"/>
      <c r="Q50" s="1098"/>
      <c r="R50" s="1098"/>
      <c r="S50" s="1098"/>
      <c r="T50" s="1098"/>
      <c r="U50" s="1098"/>
      <c r="V50" s="1098"/>
      <c r="W50" s="1098"/>
      <c r="X50" s="1098"/>
      <c r="Y50" s="1098"/>
      <c r="Z50" s="1098"/>
      <c r="AA50" s="1098"/>
      <c r="AB50" s="1098"/>
      <c r="AC50" s="1098"/>
      <c r="AD50" s="1098"/>
      <c r="AE50" s="1098"/>
      <c r="AF50" s="1098"/>
      <c r="AG50" s="1098"/>
      <c r="AH50" s="1098"/>
      <c r="AI50" s="1098"/>
      <c r="AJ50" s="1098"/>
      <c r="AK50" s="1098"/>
      <c r="AL50" s="1111"/>
      <c r="AO50" s="1097" t="s">
        <v>3065</v>
      </c>
      <c r="AP50" s="1098"/>
      <c r="AQ50" s="1098"/>
      <c r="AR50" s="1098"/>
      <c r="AS50" s="1098"/>
      <c r="AT50" s="1098"/>
      <c r="AU50" s="1098"/>
      <c r="AV50" s="1098"/>
      <c r="AW50" s="1098"/>
      <c r="AX50" s="1098"/>
      <c r="AY50" s="1098"/>
      <c r="AZ50" s="1098"/>
      <c r="BA50" s="1098"/>
      <c r="BB50" s="1098"/>
      <c r="BC50" s="1098"/>
      <c r="BD50" s="1098"/>
      <c r="BE50" s="1098"/>
      <c r="BF50" s="1098"/>
      <c r="BG50" s="1098"/>
      <c r="BH50" s="1098"/>
      <c r="BI50" s="1098"/>
      <c r="BJ50" s="1098"/>
      <c r="BK50" s="1098"/>
      <c r="BL50" s="1098"/>
      <c r="BM50" s="1098"/>
      <c r="BN50" s="1098"/>
      <c r="BO50" s="1098"/>
      <c r="BP50" s="1098"/>
      <c r="BQ50" s="1098"/>
      <c r="BR50" s="1098"/>
      <c r="BS50" s="1098"/>
      <c r="BT50" s="1098"/>
      <c r="BU50" s="1098"/>
      <c r="BV50" s="1098"/>
      <c r="BW50" s="1098"/>
      <c r="BX50" s="1098"/>
      <c r="BY50" s="1111"/>
      <c r="CB50" s="1097" t="s">
        <v>3065</v>
      </c>
      <c r="CC50" s="1098"/>
      <c r="CD50" s="1098"/>
      <c r="CE50" s="1098"/>
      <c r="CF50" s="1098"/>
      <c r="CG50" s="1098"/>
      <c r="CH50" s="1098"/>
      <c r="CI50" s="1098"/>
      <c r="CJ50" s="1098"/>
      <c r="CK50" s="1098"/>
      <c r="CL50" s="1098"/>
      <c r="CM50" s="1098"/>
      <c r="CN50" s="1098"/>
      <c r="CO50" s="1098"/>
      <c r="CP50" s="1098"/>
      <c r="CQ50" s="1098"/>
      <c r="CR50" s="1098"/>
      <c r="CS50" s="1098"/>
      <c r="CT50" s="1098"/>
      <c r="CU50" s="1098"/>
      <c r="CV50" s="1098"/>
      <c r="CW50" s="1098"/>
      <c r="CX50" s="1098"/>
      <c r="CY50" s="1098"/>
      <c r="CZ50" s="1098"/>
      <c r="DA50" s="1098"/>
      <c r="DB50" s="1098"/>
      <c r="DC50" s="1098"/>
      <c r="DD50" s="1098"/>
      <c r="DE50" s="1098"/>
      <c r="DF50" s="1098"/>
      <c r="DG50" s="1098"/>
      <c r="DH50" s="1098"/>
      <c r="DI50" s="1098"/>
      <c r="DJ50" s="1098"/>
      <c r="DK50" s="1098"/>
      <c r="DL50" s="1111"/>
      <c r="DO50" s="1097" t="s">
        <v>3065</v>
      </c>
      <c r="DP50" s="1098"/>
      <c r="DQ50" s="1098"/>
      <c r="DR50" s="1098"/>
      <c r="DS50" s="1098"/>
      <c r="DT50" s="1098"/>
      <c r="DU50" s="1098"/>
      <c r="DV50" s="1098"/>
      <c r="DW50" s="1098"/>
      <c r="DX50" s="1098"/>
      <c r="DY50" s="1098"/>
      <c r="DZ50" s="1098"/>
      <c r="EA50" s="1098"/>
      <c r="EB50" s="1098"/>
      <c r="EC50" s="1098"/>
      <c r="ED50" s="1098"/>
      <c r="EE50" s="1098"/>
      <c r="EF50" s="1098"/>
      <c r="EG50" s="1098"/>
      <c r="EH50" s="1098"/>
      <c r="EI50" s="1098"/>
      <c r="EJ50" s="1098"/>
      <c r="EK50" s="1098"/>
      <c r="EL50" s="1098"/>
      <c r="EM50" s="1098"/>
      <c r="EN50" s="1098"/>
      <c r="EO50" s="1098"/>
      <c r="EP50" s="1098"/>
      <c r="EQ50" s="1098"/>
      <c r="ER50" s="1098"/>
      <c r="ES50" s="1098"/>
      <c r="ET50" s="1098"/>
      <c r="EU50" s="1098"/>
      <c r="EV50" s="1098"/>
      <c r="EW50" s="1098"/>
      <c r="EX50" s="1098"/>
      <c r="EY50" s="1111"/>
    </row>
    <row r="51" spans="2:155" ht="12.95" customHeight="1" x14ac:dyDescent="0.2">
      <c r="B51" s="1120" t="s">
        <v>1795</v>
      </c>
      <c r="C51" s="1106"/>
      <c r="D51" s="1106"/>
      <c r="E51" s="1106"/>
      <c r="F51" s="1106"/>
      <c r="G51" s="1106"/>
      <c r="H51" s="1106"/>
      <c r="I51" s="1106"/>
      <c r="J51" s="1106"/>
      <c r="K51" s="1106" t="s">
        <v>3066</v>
      </c>
      <c r="L51" s="1106"/>
      <c r="M51" s="1106"/>
      <c r="N51" s="1106"/>
      <c r="O51" s="1106"/>
      <c r="P51" s="1106"/>
      <c r="Q51" s="1106"/>
      <c r="R51" s="1106"/>
      <c r="S51" s="1106"/>
      <c r="T51" s="1106" t="s">
        <v>1919</v>
      </c>
      <c r="U51" s="1106"/>
      <c r="V51" s="1131"/>
      <c r="W51" s="1106" t="s">
        <v>3067</v>
      </c>
      <c r="X51" s="1106"/>
      <c r="Y51" s="1106"/>
      <c r="Z51" s="1106"/>
      <c r="AA51" s="1106"/>
      <c r="AB51" s="1106"/>
      <c r="AC51" s="1106"/>
      <c r="AD51" s="1106"/>
      <c r="AE51" s="1106"/>
      <c r="AF51" s="1106"/>
      <c r="AG51" s="1106"/>
      <c r="AH51" s="1106"/>
      <c r="AI51" s="1106"/>
      <c r="AJ51" s="1106"/>
      <c r="AK51" s="1106"/>
      <c r="AL51" s="1107"/>
      <c r="AO51" s="1120" t="s">
        <v>1795</v>
      </c>
      <c r="AP51" s="1106"/>
      <c r="AQ51" s="1106"/>
      <c r="AR51" s="1106"/>
      <c r="AS51" s="1106"/>
      <c r="AT51" s="1106"/>
      <c r="AU51" s="1106"/>
      <c r="AV51" s="1106"/>
      <c r="AW51" s="1106"/>
      <c r="AX51" s="1106" t="s">
        <v>3066</v>
      </c>
      <c r="AY51" s="1106"/>
      <c r="AZ51" s="1106"/>
      <c r="BA51" s="1106"/>
      <c r="BB51" s="1106"/>
      <c r="BC51" s="1106"/>
      <c r="BD51" s="1106"/>
      <c r="BE51" s="1106"/>
      <c r="BF51" s="1106"/>
      <c r="BG51" s="1106" t="s">
        <v>1919</v>
      </c>
      <c r="BH51" s="1106"/>
      <c r="BI51" s="1131"/>
      <c r="BJ51" s="1106" t="s">
        <v>3067</v>
      </c>
      <c r="BK51" s="1106"/>
      <c r="BL51" s="1106"/>
      <c r="BM51" s="1106"/>
      <c r="BN51" s="1106"/>
      <c r="BO51" s="1106"/>
      <c r="BP51" s="1106"/>
      <c r="BQ51" s="1106"/>
      <c r="BR51" s="1106"/>
      <c r="BS51" s="1106"/>
      <c r="BT51" s="1106"/>
      <c r="BU51" s="1106"/>
      <c r="BV51" s="1106"/>
      <c r="BW51" s="1106"/>
      <c r="BX51" s="1106"/>
      <c r="BY51" s="1107"/>
      <c r="CB51" s="1120" t="s">
        <v>1795</v>
      </c>
      <c r="CC51" s="1106"/>
      <c r="CD51" s="1106"/>
      <c r="CE51" s="1106"/>
      <c r="CF51" s="1106"/>
      <c r="CG51" s="1106"/>
      <c r="CH51" s="1106"/>
      <c r="CI51" s="1106"/>
      <c r="CJ51" s="1106"/>
      <c r="CK51" s="1106" t="s">
        <v>3066</v>
      </c>
      <c r="CL51" s="1106"/>
      <c r="CM51" s="1106"/>
      <c r="CN51" s="1106"/>
      <c r="CO51" s="1106"/>
      <c r="CP51" s="1106"/>
      <c r="CQ51" s="1106"/>
      <c r="CR51" s="1106"/>
      <c r="CS51" s="1106"/>
      <c r="CT51" s="1106" t="s">
        <v>1919</v>
      </c>
      <c r="CU51" s="1106"/>
      <c r="CV51" s="1131"/>
      <c r="CW51" s="1106" t="s">
        <v>3067</v>
      </c>
      <c r="CX51" s="1106"/>
      <c r="CY51" s="1106"/>
      <c r="CZ51" s="1106"/>
      <c r="DA51" s="1106"/>
      <c r="DB51" s="1106"/>
      <c r="DC51" s="1106"/>
      <c r="DD51" s="1106"/>
      <c r="DE51" s="1106"/>
      <c r="DF51" s="1106"/>
      <c r="DG51" s="1106"/>
      <c r="DH51" s="1106"/>
      <c r="DI51" s="1106"/>
      <c r="DJ51" s="1106"/>
      <c r="DK51" s="1106"/>
      <c r="DL51" s="1107"/>
      <c r="DO51" s="1120" t="s">
        <v>1795</v>
      </c>
      <c r="DP51" s="1106"/>
      <c r="DQ51" s="1106"/>
      <c r="DR51" s="1106"/>
      <c r="DS51" s="1106"/>
      <c r="DT51" s="1106"/>
      <c r="DU51" s="1106"/>
      <c r="DV51" s="1106"/>
      <c r="DW51" s="1106"/>
      <c r="DX51" s="1106" t="s">
        <v>3066</v>
      </c>
      <c r="DY51" s="1106"/>
      <c r="DZ51" s="1106"/>
      <c r="EA51" s="1106"/>
      <c r="EB51" s="1106"/>
      <c r="EC51" s="1106"/>
      <c r="ED51" s="1106"/>
      <c r="EE51" s="1106"/>
      <c r="EF51" s="1106"/>
      <c r="EG51" s="1106" t="s">
        <v>1919</v>
      </c>
      <c r="EH51" s="1106"/>
      <c r="EI51" s="1131"/>
      <c r="EJ51" s="1106" t="s">
        <v>3067</v>
      </c>
      <c r="EK51" s="1106"/>
      <c r="EL51" s="1106"/>
      <c r="EM51" s="1106"/>
      <c r="EN51" s="1106"/>
      <c r="EO51" s="1106"/>
      <c r="EP51" s="1106"/>
      <c r="EQ51" s="1106"/>
      <c r="ER51" s="1106"/>
      <c r="ES51" s="1106"/>
      <c r="ET51" s="1106"/>
      <c r="EU51" s="1106"/>
      <c r="EV51" s="1106"/>
      <c r="EW51" s="1106"/>
      <c r="EX51" s="1106"/>
      <c r="EY51" s="1107"/>
    </row>
    <row r="52" spans="2:155" ht="12.95" customHeight="1" x14ac:dyDescent="0.2">
      <c r="B52" s="1527"/>
      <c r="C52" s="1528"/>
      <c r="D52" s="1528"/>
      <c r="E52" s="1528"/>
      <c r="F52" s="1528"/>
      <c r="G52" s="1528"/>
      <c r="H52" s="1528"/>
      <c r="I52" s="1528"/>
      <c r="J52" s="1529"/>
      <c r="K52" s="1530"/>
      <c r="L52" s="1528"/>
      <c r="M52" s="1528"/>
      <c r="N52" s="1528"/>
      <c r="O52" s="1528"/>
      <c r="P52" s="1528"/>
      <c r="Q52" s="1528"/>
      <c r="R52" s="1528"/>
      <c r="S52" s="1529"/>
      <c r="T52" s="1132"/>
      <c r="U52" s="1103"/>
      <c r="V52" s="1133"/>
      <c r="W52" s="1132"/>
      <c r="X52" s="1103"/>
      <c r="Y52" s="1103"/>
      <c r="Z52" s="1103"/>
      <c r="AA52" s="1103"/>
      <c r="AB52" s="1103"/>
      <c r="AC52" s="1103"/>
      <c r="AD52" s="1103"/>
      <c r="AE52" s="1103"/>
      <c r="AF52" s="1103"/>
      <c r="AG52" s="1103"/>
      <c r="AH52" s="1103"/>
      <c r="AI52" s="1103"/>
      <c r="AJ52" s="1103"/>
      <c r="AK52" s="1103"/>
      <c r="AL52" s="1104"/>
      <c r="AO52" s="1527"/>
      <c r="AP52" s="1528"/>
      <c r="AQ52" s="1528"/>
      <c r="AR52" s="1528"/>
      <c r="AS52" s="1528"/>
      <c r="AT52" s="1528"/>
      <c r="AU52" s="1528"/>
      <c r="AV52" s="1528"/>
      <c r="AW52" s="1529"/>
      <c r="AX52" s="1530"/>
      <c r="AY52" s="1528"/>
      <c r="AZ52" s="1528"/>
      <c r="BA52" s="1528"/>
      <c r="BB52" s="1528"/>
      <c r="BC52" s="1528"/>
      <c r="BD52" s="1528"/>
      <c r="BE52" s="1528"/>
      <c r="BF52" s="1529"/>
      <c r="BG52" s="1132"/>
      <c r="BH52" s="1103"/>
      <c r="BI52" s="1133"/>
      <c r="BJ52" s="1132"/>
      <c r="BK52" s="1103"/>
      <c r="BL52" s="1103"/>
      <c r="BM52" s="1103"/>
      <c r="BN52" s="1103"/>
      <c r="BO52" s="1103"/>
      <c r="BP52" s="1103"/>
      <c r="BQ52" s="1103"/>
      <c r="BR52" s="1103"/>
      <c r="BS52" s="1103"/>
      <c r="BT52" s="1103"/>
      <c r="BU52" s="1103"/>
      <c r="BV52" s="1103"/>
      <c r="BW52" s="1103"/>
      <c r="BX52" s="1103"/>
      <c r="BY52" s="1104"/>
      <c r="CB52" s="1527"/>
      <c r="CC52" s="1528"/>
      <c r="CD52" s="1528"/>
      <c r="CE52" s="1528"/>
      <c r="CF52" s="1528"/>
      <c r="CG52" s="1528"/>
      <c r="CH52" s="1528"/>
      <c r="CI52" s="1528"/>
      <c r="CJ52" s="1529"/>
      <c r="CK52" s="1530"/>
      <c r="CL52" s="1528"/>
      <c r="CM52" s="1528"/>
      <c r="CN52" s="1528"/>
      <c r="CO52" s="1528"/>
      <c r="CP52" s="1528"/>
      <c r="CQ52" s="1528"/>
      <c r="CR52" s="1528"/>
      <c r="CS52" s="1529"/>
      <c r="CT52" s="1132"/>
      <c r="CU52" s="1103"/>
      <c r="CV52" s="1133"/>
      <c r="CW52" s="1132"/>
      <c r="CX52" s="1103"/>
      <c r="CY52" s="1103"/>
      <c r="CZ52" s="1103"/>
      <c r="DA52" s="1103"/>
      <c r="DB52" s="1103"/>
      <c r="DC52" s="1103"/>
      <c r="DD52" s="1103"/>
      <c r="DE52" s="1103"/>
      <c r="DF52" s="1103"/>
      <c r="DG52" s="1103"/>
      <c r="DH52" s="1103"/>
      <c r="DI52" s="1103"/>
      <c r="DJ52" s="1103"/>
      <c r="DK52" s="1103"/>
      <c r="DL52" s="1104"/>
      <c r="DO52" s="1527"/>
      <c r="DP52" s="1528"/>
      <c r="DQ52" s="1528"/>
      <c r="DR52" s="1528"/>
      <c r="DS52" s="1528"/>
      <c r="DT52" s="1528"/>
      <c r="DU52" s="1528"/>
      <c r="DV52" s="1528"/>
      <c r="DW52" s="1529"/>
      <c r="DX52" s="1530"/>
      <c r="DY52" s="1528"/>
      <c r="DZ52" s="1528"/>
      <c r="EA52" s="1528"/>
      <c r="EB52" s="1528"/>
      <c r="EC52" s="1528"/>
      <c r="ED52" s="1528"/>
      <c r="EE52" s="1528"/>
      <c r="EF52" s="1529"/>
      <c r="EG52" s="1132"/>
      <c r="EH52" s="1103"/>
      <c r="EI52" s="1133"/>
      <c r="EJ52" s="1132"/>
      <c r="EK52" s="1103"/>
      <c r="EL52" s="1103"/>
      <c r="EM52" s="1103"/>
      <c r="EN52" s="1103"/>
      <c r="EO52" s="1103"/>
      <c r="EP52" s="1103"/>
      <c r="EQ52" s="1103"/>
      <c r="ER52" s="1103"/>
      <c r="ES52" s="1103"/>
      <c r="ET52" s="1103"/>
      <c r="EU52" s="1103"/>
      <c r="EV52" s="1103"/>
      <c r="EW52" s="1103"/>
      <c r="EX52" s="1103"/>
      <c r="EY52" s="1104"/>
    </row>
    <row r="53" spans="2:155" ht="12.95" customHeight="1" x14ac:dyDescent="0.2">
      <c r="B53" s="1519"/>
      <c r="C53" s="1520"/>
      <c r="D53" s="1520"/>
      <c r="E53" s="1520"/>
      <c r="F53" s="1520"/>
      <c r="G53" s="1520"/>
      <c r="H53" s="1520"/>
      <c r="I53" s="1520"/>
      <c r="J53" s="1521"/>
      <c r="K53" s="1522"/>
      <c r="L53" s="1520"/>
      <c r="M53" s="1520"/>
      <c r="N53" s="1520"/>
      <c r="O53" s="1520"/>
      <c r="P53" s="1520"/>
      <c r="Q53" s="1520"/>
      <c r="R53" s="1520"/>
      <c r="S53" s="1521"/>
      <c r="T53" s="1134"/>
      <c r="U53" s="1135"/>
      <c r="V53" s="1136"/>
      <c r="W53" s="1134"/>
      <c r="X53" s="1135"/>
      <c r="Y53" s="1135"/>
      <c r="Z53" s="1135"/>
      <c r="AA53" s="1135"/>
      <c r="AB53" s="1135"/>
      <c r="AC53" s="1135"/>
      <c r="AD53" s="1135"/>
      <c r="AE53" s="1135"/>
      <c r="AF53" s="1135"/>
      <c r="AG53" s="1135"/>
      <c r="AH53" s="1135"/>
      <c r="AI53" s="1135"/>
      <c r="AJ53" s="1135"/>
      <c r="AK53" s="1135"/>
      <c r="AL53" s="1137"/>
      <c r="AO53" s="1519"/>
      <c r="AP53" s="1520"/>
      <c r="AQ53" s="1520"/>
      <c r="AR53" s="1520"/>
      <c r="AS53" s="1520"/>
      <c r="AT53" s="1520"/>
      <c r="AU53" s="1520"/>
      <c r="AV53" s="1520"/>
      <c r="AW53" s="1521"/>
      <c r="AX53" s="1522"/>
      <c r="AY53" s="1520"/>
      <c r="AZ53" s="1520"/>
      <c r="BA53" s="1520"/>
      <c r="BB53" s="1520"/>
      <c r="BC53" s="1520"/>
      <c r="BD53" s="1520"/>
      <c r="BE53" s="1520"/>
      <c r="BF53" s="1521"/>
      <c r="BG53" s="1134"/>
      <c r="BH53" s="1135"/>
      <c r="BI53" s="1136"/>
      <c r="BJ53" s="1134"/>
      <c r="BK53" s="1135"/>
      <c r="BL53" s="1135"/>
      <c r="BM53" s="1135"/>
      <c r="BN53" s="1135"/>
      <c r="BO53" s="1135"/>
      <c r="BP53" s="1135"/>
      <c r="BQ53" s="1135"/>
      <c r="BR53" s="1135"/>
      <c r="BS53" s="1135"/>
      <c r="BT53" s="1135"/>
      <c r="BU53" s="1135"/>
      <c r="BV53" s="1135"/>
      <c r="BW53" s="1135"/>
      <c r="BX53" s="1135"/>
      <c r="BY53" s="1137"/>
      <c r="CB53" s="1519"/>
      <c r="CC53" s="1520"/>
      <c r="CD53" s="1520"/>
      <c r="CE53" s="1520"/>
      <c r="CF53" s="1520"/>
      <c r="CG53" s="1520"/>
      <c r="CH53" s="1520"/>
      <c r="CI53" s="1520"/>
      <c r="CJ53" s="1521"/>
      <c r="CK53" s="1522"/>
      <c r="CL53" s="1520"/>
      <c r="CM53" s="1520"/>
      <c r="CN53" s="1520"/>
      <c r="CO53" s="1520"/>
      <c r="CP53" s="1520"/>
      <c r="CQ53" s="1520"/>
      <c r="CR53" s="1520"/>
      <c r="CS53" s="1521"/>
      <c r="CT53" s="1134"/>
      <c r="CU53" s="1135"/>
      <c r="CV53" s="1136"/>
      <c r="CW53" s="1134"/>
      <c r="CX53" s="1135"/>
      <c r="CY53" s="1135"/>
      <c r="CZ53" s="1135"/>
      <c r="DA53" s="1135"/>
      <c r="DB53" s="1135"/>
      <c r="DC53" s="1135"/>
      <c r="DD53" s="1135"/>
      <c r="DE53" s="1135"/>
      <c r="DF53" s="1135"/>
      <c r="DG53" s="1135"/>
      <c r="DH53" s="1135"/>
      <c r="DI53" s="1135"/>
      <c r="DJ53" s="1135"/>
      <c r="DK53" s="1135"/>
      <c r="DL53" s="1137"/>
      <c r="DO53" s="1519"/>
      <c r="DP53" s="1520"/>
      <c r="DQ53" s="1520"/>
      <c r="DR53" s="1520"/>
      <c r="DS53" s="1520"/>
      <c r="DT53" s="1520"/>
      <c r="DU53" s="1520"/>
      <c r="DV53" s="1520"/>
      <c r="DW53" s="1521"/>
      <c r="DX53" s="1522"/>
      <c r="DY53" s="1520"/>
      <c r="DZ53" s="1520"/>
      <c r="EA53" s="1520"/>
      <c r="EB53" s="1520"/>
      <c r="EC53" s="1520"/>
      <c r="ED53" s="1520"/>
      <c r="EE53" s="1520"/>
      <c r="EF53" s="1521"/>
      <c r="EG53" s="1134"/>
      <c r="EH53" s="1135"/>
      <c r="EI53" s="1136"/>
      <c r="EJ53" s="1134"/>
      <c r="EK53" s="1135"/>
      <c r="EL53" s="1135"/>
      <c r="EM53" s="1135"/>
      <c r="EN53" s="1135"/>
      <c r="EO53" s="1135"/>
      <c r="EP53" s="1135"/>
      <c r="EQ53" s="1135"/>
      <c r="ER53" s="1135"/>
      <c r="ES53" s="1135"/>
      <c r="ET53" s="1135"/>
      <c r="EU53" s="1135"/>
      <c r="EV53" s="1135"/>
      <c r="EW53" s="1135"/>
      <c r="EX53" s="1135"/>
      <c r="EY53" s="1137"/>
    </row>
    <row r="54" spans="2:155" ht="12.95" customHeight="1" x14ac:dyDescent="0.2">
      <c r="B54" s="1519"/>
      <c r="C54" s="1520"/>
      <c r="D54" s="1520"/>
      <c r="E54" s="1520"/>
      <c r="F54" s="1520"/>
      <c r="G54" s="1520"/>
      <c r="H54" s="1520"/>
      <c r="I54" s="1520"/>
      <c r="J54" s="1521"/>
      <c r="K54" s="1522"/>
      <c r="L54" s="1520"/>
      <c r="M54" s="1520"/>
      <c r="N54" s="1520"/>
      <c r="O54" s="1520"/>
      <c r="P54" s="1520"/>
      <c r="Q54" s="1520"/>
      <c r="R54" s="1520"/>
      <c r="S54" s="1521"/>
      <c r="T54" s="1134"/>
      <c r="U54" s="1135"/>
      <c r="V54" s="1136"/>
      <c r="W54" s="1134"/>
      <c r="X54" s="1135"/>
      <c r="Y54" s="1135"/>
      <c r="Z54" s="1135"/>
      <c r="AA54" s="1135"/>
      <c r="AB54" s="1135"/>
      <c r="AC54" s="1135"/>
      <c r="AD54" s="1135"/>
      <c r="AE54" s="1135"/>
      <c r="AF54" s="1135"/>
      <c r="AG54" s="1135"/>
      <c r="AH54" s="1135"/>
      <c r="AI54" s="1135"/>
      <c r="AJ54" s="1135"/>
      <c r="AK54" s="1135"/>
      <c r="AL54" s="1137"/>
      <c r="AO54" s="1519"/>
      <c r="AP54" s="1520"/>
      <c r="AQ54" s="1520"/>
      <c r="AR54" s="1520"/>
      <c r="AS54" s="1520"/>
      <c r="AT54" s="1520"/>
      <c r="AU54" s="1520"/>
      <c r="AV54" s="1520"/>
      <c r="AW54" s="1521"/>
      <c r="AX54" s="1522"/>
      <c r="AY54" s="1520"/>
      <c r="AZ54" s="1520"/>
      <c r="BA54" s="1520"/>
      <c r="BB54" s="1520"/>
      <c r="BC54" s="1520"/>
      <c r="BD54" s="1520"/>
      <c r="BE54" s="1520"/>
      <c r="BF54" s="1521"/>
      <c r="BG54" s="1134"/>
      <c r="BH54" s="1135"/>
      <c r="BI54" s="1136"/>
      <c r="BJ54" s="1134"/>
      <c r="BK54" s="1135"/>
      <c r="BL54" s="1135"/>
      <c r="BM54" s="1135"/>
      <c r="BN54" s="1135"/>
      <c r="BO54" s="1135"/>
      <c r="BP54" s="1135"/>
      <c r="BQ54" s="1135"/>
      <c r="BR54" s="1135"/>
      <c r="BS54" s="1135"/>
      <c r="BT54" s="1135"/>
      <c r="BU54" s="1135"/>
      <c r="BV54" s="1135"/>
      <c r="BW54" s="1135"/>
      <c r="BX54" s="1135"/>
      <c r="BY54" s="1137"/>
      <c r="CB54" s="1519"/>
      <c r="CC54" s="1520"/>
      <c r="CD54" s="1520"/>
      <c r="CE54" s="1520"/>
      <c r="CF54" s="1520"/>
      <c r="CG54" s="1520"/>
      <c r="CH54" s="1520"/>
      <c r="CI54" s="1520"/>
      <c r="CJ54" s="1521"/>
      <c r="CK54" s="1522"/>
      <c r="CL54" s="1520"/>
      <c r="CM54" s="1520"/>
      <c r="CN54" s="1520"/>
      <c r="CO54" s="1520"/>
      <c r="CP54" s="1520"/>
      <c r="CQ54" s="1520"/>
      <c r="CR54" s="1520"/>
      <c r="CS54" s="1521"/>
      <c r="CT54" s="1134"/>
      <c r="CU54" s="1135"/>
      <c r="CV54" s="1136"/>
      <c r="CW54" s="1134"/>
      <c r="CX54" s="1135"/>
      <c r="CY54" s="1135"/>
      <c r="CZ54" s="1135"/>
      <c r="DA54" s="1135"/>
      <c r="DB54" s="1135"/>
      <c r="DC54" s="1135"/>
      <c r="DD54" s="1135"/>
      <c r="DE54" s="1135"/>
      <c r="DF54" s="1135"/>
      <c r="DG54" s="1135"/>
      <c r="DH54" s="1135"/>
      <c r="DI54" s="1135"/>
      <c r="DJ54" s="1135"/>
      <c r="DK54" s="1135"/>
      <c r="DL54" s="1137"/>
      <c r="DO54" s="1519"/>
      <c r="DP54" s="1520"/>
      <c r="DQ54" s="1520"/>
      <c r="DR54" s="1520"/>
      <c r="DS54" s="1520"/>
      <c r="DT54" s="1520"/>
      <c r="DU54" s="1520"/>
      <c r="DV54" s="1520"/>
      <c r="DW54" s="1521"/>
      <c r="DX54" s="1522"/>
      <c r="DY54" s="1520"/>
      <c r="DZ54" s="1520"/>
      <c r="EA54" s="1520"/>
      <c r="EB54" s="1520"/>
      <c r="EC54" s="1520"/>
      <c r="ED54" s="1520"/>
      <c r="EE54" s="1520"/>
      <c r="EF54" s="1521"/>
      <c r="EG54" s="1134"/>
      <c r="EH54" s="1135"/>
      <c r="EI54" s="1136"/>
      <c r="EJ54" s="1134"/>
      <c r="EK54" s="1135"/>
      <c r="EL54" s="1135"/>
      <c r="EM54" s="1135"/>
      <c r="EN54" s="1135"/>
      <c r="EO54" s="1135"/>
      <c r="EP54" s="1135"/>
      <c r="EQ54" s="1135"/>
      <c r="ER54" s="1135"/>
      <c r="ES54" s="1135"/>
      <c r="ET54" s="1135"/>
      <c r="EU54" s="1135"/>
      <c r="EV54" s="1135"/>
      <c r="EW54" s="1135"/>
      <c r="EX54" s="1135"/>
      <c r="EY54" s="1137"/>
    </row>
    <row r="55" spans="2:155" ht="12.95" customHeight="1" thickBot="1" x14ac:dyDescent="0.25">
      <c r="B55" s="1523"/>
      <c r="C55" s="1524"/>
      <c r="D55" s="1524"/>
      <c r="E55" s="1524"/>
      <c r="F55" s="1524"/>
      <c r="G55" s="1524"/>
      <c r="H55" s="1524"/>
      <c r="I55" s="1524"/>
      <c r="J55" s="1525"/>
      <c r="K55" s="1526"/>
      <c r="L55" s="1524"/>
      <c r="M55" s="1524"/>
      <c r="N55" s="1524"/>
      <c r="O55" s="1524"/>
      <c r="P55" s="1524"/>
      <c r="Q55" s="1524"/>
      <c r="R55" s="1524"/>
      <c r="S55" s="1525"/>
      <c r="T55" s="1138"/>
      <c r="U55" s="1139"/>
      <c r="V55" s="1140"/>
      <c r="W55" s="1138"/>
      <c r="X55" s="1139"/>
      <c r="Y55" s="1139"/>
      <c r="Z55" s="1139"/>
      <c r="AA55" s="1139"/>
      <c r="AB55" s="1139"/>
      <c r="AC55" s="1139"/>
      <c r="AD55" s="1139"/>
      <c r="AE55" s="1139"/>
      <c r="AF55" s="1139"/>
      <c r="AG55" s="1139"/>
      <c r="AH55" s="1139"/>
      <c r="AI55" s="1139"/>
      <c r="AJ55" s="1139"/>
      <c r="AK55" s="1139"/>
      <c r="AL55" s="1141"/>
      <c r="AO55" s="1523"/>
      <c r="AP55" s="1524"/>
      <c r="AQ55" s="1524"/>
      <c r="AR55" s="1524"/>
      <c r="AS55" s="1524"/>
      <c r="AT55" s="1524"/>
      <c r="AU55" s="1524"/>
      <c r="AV55" s="1524"/>
      <c r="AW55" s="1525"/>
      <c r="AX55" s="1526"/>
      <c r="AY55" s="1524"/>
      <c r="AZ55" s="1524"/>
      <c r="BA55" s="1524"/>
      <c r="BB55" s="1524"/>
      <c r="BC55" s="1524"/>
      <c r="BD55" s="1524"/>
      <c r="BE55" s="1524"/>
      <c r="BF55" s="1525"/>
      <c r="BG55" s="1138"/>
      <c r="BH55" s="1139"/>
      <c r="BI55" s="1140"/>
      <c r="BJ55" s="1138"/>
      <c r="BK55" s="1139"/>
      <c r="BL55" s="1139"/>
      <c r="BM55" s="1139"/>
      <c r="BN55" s="1139"/>
      <c r="BO55" s="1139"/>
      <c r="BP55" s="1139"/>
      <c r="BQ55" s="1139"/>
      <c r="BR55" s="1139"/>
      <c r="BS55" s="1139"/>
      <c r="BT55" s="1139"/>
      <c r="BU55" s="1139"/>
      <c r="BV55" s="1139"/>
      <c r="BW55" s="1139"/>
      <c r="BX55" s="1139"/>
      <c r="BY55" s="1141"/>
      <c r="CB55" s="1523"/>
      <c r="CC55" s="1524"/>
      <c r="CD55" s="1524"/>
      <c r="CE55" s="1524"/>
      <c r="CF55" s="1524"/>
      <c r="CG55" s="1524"/>
      <c r="CH55" s="1524"/>
      <c r="CI55" s="1524"/>
      <c r="CJ55" s="1525"/>
      <c r="CK55" s="1526"/>
      <c r="CL55" s="1524"/>
      <c r="CM55" s="1524"/>
      <c r="CN55" s="1524"/>
      <c r="CO55" s="1524"/>
      <c r="CP55" s="1524"/>
      <c r="CQ55" s="1524"/>
      <c r="CR55" s="1524"/>
      <c r="CS55" s="1525"/>
      <c r="CT55" s="1138"/>
      <c r="CU55" s="1139"/>
      <c r="CV55" s="1140"/>
      <c r="CW55" s="1138"/>
      <c r="CX55" s="1139"/>
      <c r="CY55" s="1139"/>
      <c r="CZ55" s="1139"/>
      <c r="DA55" s="1139"/>
      <c r="DB55" s="1139"/>
      <c r="DC55" s="1139"/>
      <c r="DD55" s="1139"/>
      <c r="DE55" s="1139"/>
      <c r="DF55" s="1139"/>
      <c r="DG55" s="1139"/>
      <c r="DH55" s="1139"/>
      <c r="DI55" s="1139"/>
      <c r="DJ55" s="1139"/>
      <c r="DK55" s="1139"/>
      <c r="DL55" s="1141"/>
      <c r="DO55" s="1523"/>
      <c r="DP55" s="1524"/>
      <c r="DQ55" s="1524"/>
      <c r="DR55" s="1524"/>
      <c r="DS55" s="1524"/>
      <c r="DT55" s="1524"/>
      <c r="DU55" s="1524"/>
      <c r="DV55" s="1524"/>
      <c r="DW55" s="1525"/>
      <c r="DX55" s="1526"/>
      <c r="DY55" s="1524"/>
      <c r="DZ55" s="1524"/>
      <c r="EA55" s="1524"/>
      <c r="EB55" s="1524"/>
      <c r="EC55" s="1524"/>
      <c r="ED55" s="1524"/>
      <c r="EE55" s="1524"/>
      <c r="EF55" s="1525"/>
      <c r="EG55" s="1138"/>
      <c r="EH55" s="1139"/>
      <c r="EI55" s="1140"/>
      <c r="EJ55" s="1138"/>
      <c r="EK55" s="1139"/>
      <c r="EL55" s="1139"/>
      <c r="EM55" s="1139"/>
      <c r="EN55" s="1139"/>
      <c r="EO55" s="1139"/>
      <c r="EP55" s="1139"/>
      <c r="EQ55" s="1139"/>
      <c r="ER55" s="1139"/>
      <c r="ES55" s="1139"/>
      <c r="ET55" s="1139"/>
      <c r="EU55" s="1139"/>
      <c r="EV55" s="1139"/>
      <c r="EW55" s="1139"/>
      <c r="EX55" s="1139"/>
      <c r="EY55" s="1141"/>
    </row>
    <row r="56" spans="2:155" ht="6" customHeight="1" x14ac:dyDescent="0.2"/>
    <row r="57" spans="2:155" ht="5.0999999999999996" customHeight="1" x14ac:dyDescent="0.2"/>
    <row r="58" spans="2:155" ht="18.95" customHeight="1" x14ac:dyDescent="0.2"/>
    <row r="59" spans="2:155" ht="12.95" customHeight="1" x14ac:dyDescent="0.2"/>
    <row r="60" spans="2:155" ht="12.95" customHeight="1" x14ac:dyDescent="0.2"/>
    <row r="61" spans="2:155" ht="12.95" customHeight="1" x14ac:dyDescent="0.2"/>
    <row r="62" spans="2:155" ht="12.95" customHeight="1" x14ac:dyDescent="0.2"/>
    <row r="63" spans="2:155" ht="12.95" customHeight="1" x14ac:dyDescent="0.2"/>
    <row r="64" spans="2:155" ht="12.95" customHeight="1" x14ac:dyDescent="0.2"/>
    <row r="65" ht="12.95" customHeight="1" x14ac:dyDescent="0.2"/>
    <row r="66" ht="12.95" customHeight="1" x14ac:dyDescent="0.2"/>
    <row r="67" ht="12.95" customHeight="1" x14ac:dyDescent="0.2"/>
    <row r="68" ht="12.95" customHeight="1" x14ac:dyDescent="0.2"/>
    <row r="69" ht="12.95" customHeight="1" x14ac:dyDescent="0.2"/>
    <row r="70" ht="12.95" customHeight="1" x14ac:dyDescent="0.2"/>
    <row r="71" ht="12.95" customHeight="1" x14ac:dyDescent="0.2"/>
    <row r="72" ht="12.95" customHeight="1" x14ac:dyDescent="0.2"/>
    <row r="73" ht="12.95" customHeight="1" x14ac:dyDescent="0.2"/>
    <row r="74" ht="12.95" customHeight="1" x14ac:dyDescent="0.2"/>
    <row r="75" ht="12.95" customHeight="1" x14ac:dyDescent="0.2"/>
    <row r="76" ht="12.95" customHeight="1" x14ac:dyDescent="0.2"/>
    <row r="77" ht="12.95" customHeight="1" x14ac:dyDescent="0.2"/>
    <row r="78" ht="12.95" customHeight="1" x14ac:dyDescent="0.2"/>
    <row r="79" ht="12.95" customHeight="1" x14ac:dyDescent="0.2"/>
    <row r="80" ht="12.95" customHeight="1" x14ac:dyDescent="0.2"/>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7.100000000000001"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5" customHeight="1" x14ac:dyDescent="0.2"/>
    <row r="109" ht="15"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5.0999999999999996" customHeight="1" x14ac:dyDescent="0.2"/>
    <row r="119" ht="5.0999999999999996" customHeight="1" x14ac:dyDescent="0.2"/>
  </sheetData>
  <mergeCells count="264">
    <mergeCell ref="DR2:DX2"/>
    <mergeCell ref="EC2:EH2"/>
    <mergeCell ref="EM2:EP2"/>
    <mergeCell ref="EQ2:EY2"/>
    <mergeCell ref="G3:K3"/>
    <mergeCell ref="P3:U3"/>
    <mergeCell ref="Z3:AC3"/>
    <mergeCell ref="AD3:AL3"/>
    <mergeCell ref="AT3:AX3"/>
    <mergeCell ref="BC3:BH3"/>
    <mergeCell ref="BM2:BP2"/>
    <mergeCell ref="BQ2:BY2"/>
    <mergeCell ref="CE2:CK2"/>
    <mergeCell ref="CP2:CU2"/>
    <mergeCell ref="CZ2:DC2"/>
    <mergeCell ref="DD2:DL2"/>
    <mergeCell ref="E2:K2"/>
    <mergeCell ref="P2:U2"/>
    <mergeCell ref="Z2:AC2"/>
    <mergeCell ref="AD2:AL2"/>
    <mergeCell ref="AR2:AX2"/>
    <mergeCell ref="BC2:BH2"/>
    <mergeCell ref="EC3:EH3"/>
    <mergeCell ref="EM3:EP3"/>
    <mergeCell ref="EQ3:EY3"/>
    <mergeCell ref="E4:K4"/>
    <mergeCell ref="AR4:AX4"/>
    <mergeCell ref="CE4:CK4"/>
    <mergeCell ref="DR4:DX4"/>
    <mergeCell ref="BM3:BP3"/>
    <mergeCell ref="BQ3:BY3"/>
    <mergeCell ref="CG3:CK3"/>
    <mergeCell ref="CP3:CU3"/>
    <mergeCell ref="CZ3:DC3"/>
    <mergeCell ref="DD3:DL3"/>
    <mergeCell ref="I5:K5"/>
    <mergeCell ref="AV5:AX5"/>
    <mergeCell ref="CI5:CK5"/>
    <mergeCell ref="DV5:DX5"/>
    <mergeCell ref="D7:G7"/>
    <mergeCell ref="AQ7:AT7"/>
    <mergeCell ref="CD7:CG7"/>
    <mergeCell ref="DQ7:DT7"/>
    <mergeCell ref="DT3:DX3"/>
    <mergeCell ref="D10:G10"/>
    <mergeCell ref="AQ10:AT10"/>
    <mergeCell ref="CD10:CG10"/>
    <mergeCell ref="DQ10:DT10"/>
    <mergeCell ref="D11:G11"/>
    <mergeCell ref="AQ11:AT11"/>
    <mergeCell ref="CD11:CG11"/>
    <mergeCell ref="DQ11:DT11"/>
    <mergeCell ref="D8:G8"/>
    <mergeCell ref="AQ8:AT8"/>
    <mergeCell ref="CD8:CG8"/>
    <mergeCell ref="DQ8:DT8"/>
    <mergeCell ref="D9:G9"/>
    <mergeCell ref="AQ9:AT9"/>
    <mergeCell ref="CD9:CG9"/>
    <mergeCell ref="DQ9:DT9"/>
    <mergeCell ref="D14:G14"/>
    <mergeCell ref="AQ14:AT14"/>
    <mergeCell ref="CD14:CG14"/>
    <mergeCell ref="DQ14:DT14"/>
    <mergeCell ref="D15:G15"/>
    <mergeCell ref="AQ15:AT15"/>
    <mergeCell ref="CD15:CG15"/>
    <mergeCell ref="DQ15:DT15"/>
    <mergeCell ref="D12:G12"/>
    <mergeCell ref="AQ12:AT12"/>
    <mergeCell ref="CD12:CG12"/>
    <mergeCell ref="DQ12:DT12"/>
    <mergeCell ref="D13:G13"/>
    <mergeCell ref="AQ13:AT13"/>
    <mergeCell ref="CD13:CG13"/>
    <mergeCell ref="DQ13:DT13"/>
    <mergeCell ref="D18:G18"/>
    <mergeCell ref="AQ18:AT18"/>
    <mergeCell ref="CD18:CG18"/>
    <mergeCell ref="DQ18:DT18"/>
    <mergeCell ref="D19:G19"/>
    <mergeCell ref="AQ19:AT19"/>
    <mergeCell ref="CD19:CG19"/>
    <mergeCell ref="DQ19:DT19"/>
    <mergeCell ref="D16:G16"/>
    <mergeCell ref="AQ16:AT16"/>
    <mergeCell ref="CD16:CG16"/>
    <mergeCell ref="DQ16:DT16"/>
    <mergeCell ref="D17:G17"/>
    <mergeCell ref="AQ17:AT17"/>
    <mergeCell ref="CD17:CG17"/>
    <mergeCell ref="DQ17:DT17"/>
    <mergeCell ref="D22:G22"/>
    <mergeCell ref="AQ22:AT22"/>
    <mergeCell ref="CD22:CG22"/>
    <mergeCell ref="DQ22:DT22"/>
    <mergeCell ref="D23:G23"/>
    <mergeCell ref="AQ23:AT23"/>
    <mergeCell ref="CD23:CG23"/>
    <mergeCell ref="DQ23:DT23"/>
    <mergeCell ref="D20:G20"/>
    <mergeCell ref="AQ20:AT20"/>
    <mergeCell ref="CD20:CG20"/>
    <mergeCell ref="DQ20:DT20"/>
    <mergeCell ref="D21:G21"/>
    <mergeCell ref="AQ21:AT21"/>
    <mergeCell ref="CD21:CG21"/>
    <mergeCell ref="DQ21:DT21"/>
    <mergeCell ref="D26:G26"/>
    <mergeCell ref="AQ26:AT26"/>
    <mergeCell ref="CD26:CG26"/>
    <mergeCell ref="DQ26:DT26"/>
    <mergeCell ref="D27:G27"/>
    <mergeCell ref="AQ27:AT27"/>
    <mergeCell ref="CD27:CG27"/>
    <mergeCell ref="DQ27:DT27"/>
    <mergeCell ref="D24:G24"/>
    <mergeCell ref="AQ24:AT24"/>
    <mergeCell ref="CD24:CG24"/>
    <mergeCell ref="DQ24:DT24"/>
    <mergeCell ref="D25:G25"/>
    <mergeCell ref="AQ25:AT25"/>
    <mergeCell ref="CD25:CG25"/>
    <mergeCell ref="DQ25:DT25"/>
    <mergeCell ref="D30:G30"/>
    <mergeCell ref="AQ30:AT30"/>
    <mergeCell ref="CD30:CG30"/>
    <mergeCell ref="DQ30:DT30"/>
    <mergeCell ref="D31:G31"/>
    <mergeCell ref="AQ31:AT31"/>
    <mergeCell ref="CD31:CG31"/>
    <mergeCell ref="DQ31:DT31"/>
    <mergeCell ref="D28:G28"/>
    <mergeCell ref="AQ28:AT28"/>
    <mergeCell ref="CD28:CG28"/>
    <mergeCell ref="DQ28:DT28"/>
    <mergeCell ref="D29:G29"/>
    <mergeCell ref="AQ29:AT29"/>
    <mergeCell ref="CD29:CG29"/>
    <mergeCell ref="DQ29:DT29"/>
    <mergeCell ref="D34:G34"/>
    <mergeCell ref="AQ34:AT34"/>
    <mergeCell ref="CD34:CG34"/>
    <mergeCell ref="DQ34:DT34"/>
    <mergeCell ref="D35:G35"/>
    <mergeCell ref="AQ35:AT35"/>
    <mergeCell ref="CD35:CG35"/>
    <mergeCell ref="DQ35:DT35"/>
    <mergeCell ref="D32:G32"/>
    <mergeCell ref="AQ32:AT32"/>
    <mergeCell ref="CD32:CG32"/>
    <mergeCell ref="DQ32:DT32"/>
    <mergeCell ref="D33:G33"/>
    <mergeCell ref="AQ33:AT33"/>
    <mergeCell ref="CD33:CG33"/>
    <mergeCell ref="DQ33:DT33"/>
    <mergeCell ref="CB39:CF39"/>
    <mergeCell ref="CG39:CK39"/>
    <mergeCell ref="CL39:CP39"/>
    <mergeCell ref="DO39:DS39"/>
    <mergeCell ref="DT39:DX39"/>
    <mergeCell ref="DY39:EC39"/>
    <mergeCell ref="D36:G36"/>
    <mergeCell ref="AQ36:AT36"/>
    <mergeCell ref="CD36:CG36"/>
    <mergeCell ref="DQ36:DT36"/>
    <mergeCell ref="B39:F39"/>
    <mergeCell ref="G39:K39"/>
    <mergeCell ref="L39:P39"/>
    <mergeCell ref="AO39:AS39"/>
    <mergeCell ref="AT39:AX39"/>
    <mergeCell ref="AY39:BC39"/>
    <mergeCell ref="CB40:CF40"/>
    <mergeCell ref="CG40:CK40"/>
    <mergeCell ref="CL40:CP40"/>
    <mergeCell ref="DO40:DS40"/>
    <mergeCell ref="DT40:DX40"/>
    <mergeCell ref="DY40:EC40"/>
    <mergeCell ref="B40:F40"/>
    <mergeCell ref="G40:K40"/>
    <mergeCell ref="L40:P40"/>
    <mergeCell ref="AO40:AS40"/>
    <mergeCell ref="AT40:AX40"/>
    <mergeCell ref="AY40:BC40"/>
    <mergeCell ref="CB41:CF41"/>
    <mergeCell ref="CG41:CK41"/>
    <mergeCell ref="CL41:CP41"/>
    <mergeCell ref="DO41:DS41"/>
    <mergeCell ref="DT41:DX41"/>
    <mergeCell ref="DY41:EC41"/>
    <mergeCell ref="B41:F41"/>
    <mergeCell ref="G41:K41"/>
    <mergeCell ref="L41:P41"/>
    <mergeCell ref="AO41:AS41"/>
    <mergeCell ref="AT41:AX41"/>
    <mergeCell ref="AY41:BC41"/>
    <mergeCell ref="CB42:CF42"/>
    <mergeCell ref="CG42:CK42"/>
    <mergeCell ref="CL42:CP42"/>
    <mergeCell ref="DO42:DS42"/>
    <mergeCell ref="DT42:DX42"/>
    <mergeCell ref="DY42:EC42"/>
    <mergeCell ref="B42:F42"/>
    <mergeCell ref="G42:K42"/>
    <mergeCell ref="L42:P42"/>
    <mergeCell ref="AO42:AS42"/>
    <mergeCell ref="AT42:AX42"/>
    <mergeCell ref="AY42:BC42"/>
    <mergeCell ref="CB43:CF43"/>
    <mergeCell ref="CG43:CK43"/>
    <mergeCell ref="CL43:CP43"/>
    <mergeCell ref="DO43:DS43"/>
    <mergeCell ref="DT43:DX43"/>
    <mergeCell ref="DY43:EC43"/>
    <mergeCell ref="B43:F43"/>
    <mergeCell ref="G43:K43"/>
    <mergeCell ref="L43:P43"/>
    <mergeCell ref="AO43:AS43"/>
    <mergeCell ref="AT43:AX43"/>
    <mergeCell ref="AY43:BC43"/>
    <mergeCell ref="CB44:CF44"/>
    <mergeCell ref="CG44:CK44"/>
    <mergeCell ref="CL44:CP44"/>
    <mergeCell ref="DO44:DS44"/>
    <mergeCell ref="DT44:DX44"/>
    <mergeCell ref="DY44:EC44"/>
    <mergeCell ref="B44:F44"/>
    <mergeCell ref="G44:K44"/>
    <mergeCell ref="L44:P44"/>
    <mergeCell ref="AO44:AS44"/>
    <mergeCell ref="AT44:AX44"/>
    <mergeCell ref="AY44:BC44"/>
    <mergeCell ref="DO52:DW52"/>
    <mergeCell ref="DX52:EF52"/>
    <mergeCell ref="B53:J53"/>
    <mergeCell ref="K53:S53"/>
    <mergeCell ref="AO53:AW53"/>
    <mergeCell ref="AX53:BF53"/>
    <mergeCell ref="CB53:CJ53"/>
    <mergeCell ref="CK53:CS53"/>
    <mergeCell ref="DO53:DW53"/>
    <mergeCell ref="DX53:EF53"/>
    <mergeCell ref="B52:J52"/>
    <mergeCell ref="K52:S52"/>
    <mergeCell ref="AO52:AW52"/>
    <mergeCell ref="AX52:BF52"/>
    <mergeCell ref="CB52:CJ52"/>
    <mergeCell ref="CK52:CS52"/>
    <mergeCell ref="DO54:DW54"/>
    <mergeCell ref="DX54:EF54"/>
    <mergeCell ref="B55:J55"/>
    <mergeCell ref="K55:S55"/>
    <mergeCell ref="AO55:AW55"/>
    <mergeCell ref="AX55:BF55"/>
    <mergeCell ref="CB55:CJ55"/>
    <mergeCell ref="CK55:CS55"/>
    <mergeCell ref="DO55:DW55"/>
    <mergeCell ref="DX55:EF55"/>
    <mergeCell ref="B54:J54"/>
    <mergeCell ref="K54:S54"/>
    <mergeCell ref="AO54:AW54"/>
    <mergeCell ref="AX54:BF54"/>
    <mergeCell ref="CB54:CJ54"/>
    <mergeCell ref="CK54:CS5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36BD-0732-47D5-B63C-DE2B9369C8E5}">
  <sheetPr>
    <tabColor rgb="FFFF6161"/>
  </sheetPr>
  <dimension ref="B1:Y147"/>
  <sheetViews>
    <sheetView tabSelected="1" topLeftCell="A89" zoomScale="85" zoomScaleNormal="85" workbookViewId="0">
      <selection activeCell="H109" sqref="H109"/>
    </sheetView>
  </sheetViews>
  <sheetFormatPr defaultRowHeight="15" x14ac:dyDescent="0.25"/>
  <cols>
    <col min="1" max="1" width="2.625" style="314" customWidth="1"/>
    <col min="2" max="2" width="2.5" style="314" customWidth="1"/>
    <col min="3" max="10" width="7.125" style="314" customWidth="1"/>
    <col min="11" max="12" width="9" style="314"/>
    <col min="13" max="13" width="9.125" style="314" bestFit="1" customWidth="1"/>
    <col min="14" max="14" width="2.625" style="314" customWidth="1"/>
    <col min="15" max="15" width="2.375" style="314" customWidth="1"/>
    <col min="16" max="16" width="20.5" style="314" customWidth="1"/>
    <col min="17" max="19" width="12" style="314" customWidth="1"/>
    <col min="20" max="20" width="30.375" style="314" customWidth="1"/>
    <col min="21" max="21" width="2.5" style="314" customWidth="1"/>
    <col min="22" max="22" width="13.875" style="314" bestFit="1" customWidth="1"/>
    <col min="23" max="16384" width="9" style="314"/>
  </cols>
  <sheetData>
    <row r="1" spans="2:22" ht="15.75" x14ac:dyDescent="0.25">
      <c r="B1" s="958" t="s">
        <v>2002</v>
      </c>
      <c r="C1" s="315"/>
      <c r="D1" s="315"/>
      <c r="E1" s="315"/>
      <c r="F1" s="315"/>
      <c r="G1" s="315"/>
      <c r="H1" s="315"/>
      <c r="I1" s="315"/>
      <c r="J1" s="315"/>
      <c r="K1" s="315"/>
      <c r="L1" s="315"/>
      <c r="M1" s="315"/>
      <c r="N1" s="315"/>
      <c r="P1" s="958" t="s">
        <v>1757</v>
      </c>
      <c r="V1" s="215"/>
    </row>
    <row r="2" spans="2:22" ht="15.75" thickBot="1" x14ac:dyDescent="0.3">
      <c r="C2" s="315"/>
      <c r="D2" s="315"/>
      <c r="E2" s="315"/>
      <c r="F2" s="315"/>
      <c r="G2" s="315"/>
      <c r="H2" s="315"/>
      <c r="I2" s="315"/>
      <c r="J2" s="315"/>
      <c r="K2" s="315"/>
      <c r="L2" s="315"/>
      <c r="M2" s="315"/>
      <c r="N2" s="315"/>
      <c r="P2" s="215"/>
      <c r="Q2" s="215"/>
      <c r="R2" s="215"/>
      <c r="S2" s="215"/>
      <c r="T2" s="215"/>
      <c r="U2" s="215"/>
      <c r="V2" s="215"/>
    </row>
    <row r="3" spans="2:22" x14ac:dyDescent="0.25">
      <c r="B3" s="213">
        <v>1</v>
      </c>
      <c r="C3" s="215" t="s">
        <v>2078</v>
      </c>
      <c r="D3" s="245"/>
      <c r="E3" s="245"/>
      <c r="F3" s="245"/>
      <c r="G3" s="245"/>
      <c r="H3" s="245"/>
      <c r="I3" s="245"/>
      <c r="J3" s="332" t="s">
        <v>2028</v>
      </c>
      <c r="K3" s="220"/>
      <c r="L3" s="425"/>
      <c r="P3" s="376" t="s">
        <v>2110</v>
      </c>
      <c r="Q3" s="367"/>
      <c r="R3" s="367"/>
      <c r="S3" s="367"/>
      <c r="T3" s="368"/>
      <c r="U3" s="215"/>
      <c r="V3" s="215"/>
    </row>
    <row r="4" spans="2:22" x14ac:dyDescent="0.25">
      <c r="B4" s="215"/>
      <c r="C4" s="245" t="s">
        <v>2079</v>
      </c>
      <c r="D4" s="215"/>
      <c r="E4" s="215"/>
      <c r="F4" s="215"/>
      <c r="G4" s="215"/>
      <c r="H4" s="215"/>
      <c r="I4" s="245"/>
      <c r="J4" s="225" t="s">
        <v>2196</v>
      </c>
      <c r="K4" s="229"/>
      <c r="L4" s="426"/>
      <c r="P4" s="1569" t="s">
        <v>2118</v>
      </c>
      <c r="Q4" s="1570"/>
      <c r="R4" s="1570"/>
      <c r="S4" s="1570"/>
      <c r="T4" s="1571"/>
      <c r="U4" s="215"/>
      <c r="V4" s="215"/>
    </row>
    <row r="5" spans="2:22" x14ac:dyDescent="0.25">
      <c r="B5" s="213">
        <v>2</v>
      </c>
      <c r="C5" s="215" t="s">
        <v>2076</v>
      </c>
      <c r="D5" s="245"/>
      <c r="E5" s="245"/>
      <c r="F5" s="245"/>
      <c r="G5" s="245"/>
      <c r="H5" s="245"/>
      <c r="I5" s="215"/>
      <c r="J5" s="225" t="s">
        <v>2197</v>
      </c>
      <c r="L5" s="426"/>
      <c r="P5" s="1572"/>
      <c r="Q5" s="1570"/>
      <c r="R5" s="1570"/>
      <c r="S5" s="1570"/>
      <c r="T5" s="1571"/>
      <c r="U5" s="215"/>
      <c r="V5" s="215"/>
    </row>
    <row r="6" spans="2:22" x14ac:dyDescent="0.25">
      <c r="B6" s="215"/>
      <c r="C6" s="245" t="s">
        <v>2077</v>
      </c>
      <c r="D6" s="215"/>
      <c r="E6" s="215"/>
      <c r="F6" s="215"/>
      <c r="G6" s="215"/>
      <c r="H6" s="215"/>
      <c r="I6" s="215"/>
      <c r="J6" s="231" t="s">
        <v>2198</v>
      </c>
      <c r="K6" s="233"/>
      <c r="L6" s="427"/>
      <c r="P6" s="1572"/>
      <c r="Q6" s="1570"/>
      <c r="R6" s="1570"/>
      <c r="S6" s="1570"/>
      <c r="T6" s="1571"/>
      <c r="U6" s="215"/>
      <c r="V6" s="215"/>
    </row>
    <row r="7" spans="2:22" x14ac:dyDescent="0.25">
      <c r="B7" s="213">
        <v>3</v>
      </c>
      <c r="C7" s="215" t="s">
        <v>2074</v>
      </c>
      <c r="D7" s="245"/>
      <c r="E7" s="245"/>
      <c r="F7" s="245"/>
      <c r="G7" s="245"/>
      <c r="H7" s="245"/>
      <c r="I7" s="245"/>
      <c r="J7" s="226"/>
      <c r="K7" s="229"/>
      <c r="P7" s="377"/>
      <c r="S7" s="383"/>
      <c r="T7" s="384"/>
      <c r="U7" s="215"/>
      <c r="V7" s="215"/>
    </row>
    <row r="8" spans="2:22" x14ac:dyDescent="0.25">
      <c r="B8" s="215"/>
      <c r="C8" s="245" t="s">
        <v>2075</v>
      </c>
      <c r="D8" s="215"/>
      <c r="E8" s="215"/>
      <c r="F8" s="215"/>
      <c r="G8" s="215"/>
      <c r="H8" s="215"/>
      <c r="I8" s="215"/>
      <c r="J8" s="215"/>
      <c r="K8" s="229"/>
      <c r="L8" s="229"/>
      <c r="P8" s="378" t="s">
        <v>1995</v>
      </c>
      <c r="Q8" s="276" t="s">
        <v>1996</v>
      </c>
      <c r="R8" s="276" t="s">
        <v>1997</v>
      </c>
      <c r="S8" s="276" t="s">
        <v>2116</v>
      </c>
      <c r="T8" s="384"/>
      <c r="U8" s="215"/>
      <c r="V8" s="215"/>
    </row>
    <row r="9" spans="2:22" x14ac:dyDescent="0.25">
      <c r="B9" s="213">
        <v>4</v>
      </c>
      <c r="C9" s="215" t="s">
        <v>2003</v>
      </c>
      <c r="D9" s="245"/>
      <c r="E9" s="245"/>
      <c r="F9" s="245"/>
      <c r="G9" s="245"/>
      <c r="H9" s="245"/>
      <c r="I9" s="245"/>
      <c r="J9" s="245"/>
      <c r="K9" s="226"/>
      <c r="L9" s="226"/>
      <c r="P9" s="381" t="s">
        <v>1998</v>
      </c>
      <c r="Q9" s="244">
        <v>12</v>
      </c>
      <c r="R9" s="244">
        <v>4</v>
      </c>
      <c r="S9" s="244">
        <v>8</v>
      </c>
      <c r="T9" s="369"/>
      <c r="U9" s="215"/>
      <c r="V9" s="215"/>
    </row>
    <row r="10" spans="2:22" x14ac:dyDescent="0.25">
      <c r="B10" s="213"/>
      <c r="C10" s="245" t="s">
        <v>2004</v>
      </c>
      <c r="D10" s="316"/>
      <c r="E10" s="245" t="s">
        <v>2005</v>
      </c>
      <c r="F10" s="316"/>
      <c r="G10" s="245" t="s">
        <v>2006</v>
      </c>
      <c r="H10" s="316"/>
      <c r="I10" s="245" t="s">
        <v>2007</v>
      </c>
      <c r="J10" s="215"/>
      <c r="K10" s="229"/>
      <c r="L10" s="229"/>
      <c r="P10" s="381" t="s">
        <v>1999</v>
      </c>
      <c r="Q10" s="244">
        <v>18</v>
      </c>
      <c r="R10" s="244">
        <v>16</v>
      </c>
      <c r="S10" s="244">
        <v>12</v>
      </c>
      <c r="T10" s="369"/>
      <c r="U10" s="215"/>
      <c r="V10" s="215"/>
    </row>
    <row r="11" spans="2:22" x14ac:dyDescent="0.25">
      <c r="B11" s="213"/>
      <c r="C11" s="245" t="s">
        <v>2008</v>
      </c>
      <c r="D11" s="316"/>
      <c r="E11" s="245" t="s">
        <v>2009</v>
      </c>
      <c r="F11" s="316"/>
      <c r="G11" s="245" t="s">
        <v>2010</v>
      </c>
      <c r="H11" s="316"/>
      <c r="I11" s="245" t="s">
        <v>2011</v>
      </c>
      <c r="J11" s="215"/>
      <c r="K11" s="229"/>
      <c r="L11" s="229"/>
      <c r="P11" s="381" t="s">
        <v>2000</v>
      </c>
      <c r="Q11" s="244">
        <v>24</v>
      </c>
      <c r="R11" s="244">
        <v>8</v>
      </c>
      <c r="S11" s="244">
        <v>16</v>
      </c>
      <c r="T11" s="369"/>
      <c r="U11" s="215"/>
      <c r="V11" s="215"/>
    </row>
    <row r="12" spans="2:22" x14ac:dyDescent="0.25">
      <c r="B12" s="213">
        <v>5</v>
      </c>
      <c r="C12" s="215" t="s">
        <v>2012</v>
      </c>
      <c r="D12" s="245"/>
      <c r="E12" s="245"/>
      <c r="F12" s="245"/>
      <c r="G12" s="245"/>
      <c r="H12" s="245"/>
      <c r="I12" s="245"/>
      <c r="J12" s="245"/>
      <c r="K12" s="229" t="s">
        <v>2226</v>
      </c>
      <c r="L12" s="226"/>
      <c r="P12" s="358"/>
      <c r="Q12" s="279"/>
      <c r="R12" s="279"/>
      <c r="S12" s="215"/>
      <c r="T12" s="369"/>
      <c r="U12" s="215"/>
      <c r="V12" s="215"/>
    </row>
    <row r="13" spans="2:22" x14ac:dyDescent="0.25">
      <c r="B13" s="215"/>
      <c r="C13" s="245" t="s">
        <v>2101</v>
      </c>
      <c r="D13" s="245"/>
      <c r="E13" s="245"/>
      <c r="F13" s="245"/>
      <c r="G13" s="245"/>
      <c r="H13" s="245"/>
      <c r="I13" s="245"/>
      <c r="J13" s="245"/>
      <c r="K13" s="342" t="s">
        <v>2013</v>
      </c>
      <c r="L13" s="267"/>
      <c r="P13" s="379" t="s">
        <v>2119</v>
      </c>
      <c r="Q13" s="279"/>
      <c r="R13" s="279"/>
      <c r="S13" s="215"/>
      <c r="T13" s="369"/>
      <c r="U13" s="215"/>
      <c r="V13" s="215"/>
    </row>
    <row r="14" spans="2:22" x14ac:dyDescent="0.25">
      <c r="B14" s="215"/>
      <c r="C14" s="245" t="s">
        <v>2097</v>
      </c>
      <c r="D14" s="245"/>
      <c r="E14" s="245"/>
      <c r="F14" s="245"/>
      <c r="G14" s="245"/>
      <c r="H14" s="245"/>
      <c r="I14" s="245"/>
      <c r="J14" s="245"/>
      <c r="K14" s="225" t="s">
        <v>2014</v>
      </c>
      <c r="L14" s="321"/>
      <c r="P14" s="358"/>
      <c r="Q14" s="279"/>
      <c r="R14" s="279"/>
      <c r="S14" s="215"/>
      <c r="T14" s="369"/>
      <c r="U14" s="215"/>
      <c r="V14" s="215"/>
    </row>
    <row r="15" spans="2:22" x14ac:dyDescent="0.25">
      <c r="B15" s="215"/>
      <c r="C15" s="245" t="s">
        <v>2099</v>
      </c>
      <c r="D15" s="245"/>
      <c r="E15" s="245"/>
      <c r="F15" s="245"/>
      <c r="G15" s="245"/>
      <c r="H15" s="245"/>
      <c r="I15" s="245"/>
      <c r="J15" s="245"/>
      <c r="K15" s="343" t="s">
        <v>2017</v>
      </c>
      <c r="L15" s="246"/>
      <c r="P15" s="1569" t="s">
        <v>2120</v>
      </c>
      <c r="Q15" s="1573"/>
      <c r="R15" s="1573"/>
      <c r="S15" s="1573"/>
      <c r="T15" s="1574"/>
      <c r="U15" s="215"/>
      <c r="V15" s="215"/>
    </row>
    <row r="16" spans="2:22" x14ac:dyDescent="0.25">
      <c r="B16" s="215"/>
      <c r="C16" s="245" t="s">
        <v>2098</v>
      </c>
      <c r="J16" s="245"/>
      <c r="K16" s="225" t="s">
        <v>2020</v>
      </c>
      <c r="L16" s="321"/>
      <c r="P16" s="1575"/>
      <c r="Q16" s="1573"/>
      <c r="R16" s="1573"/>
      <c r="S16" s="1573"/>
      <c r="T16" s="1574"/>
      <c r="U16" s="215"/>
      <c r="V16" s="215"/>
    </row>
    <row r="17" spans="2:24" x14ac:dyDescent="0.25">
      <c r="B17" s="215"/>
      <c r="C17" s="245"/>
      <c r="J17" s="245"/>
      <c r="K17" s="344" t="s">
        <v>2021</v>
      </c>
      <c r="L17" s="266"/>
      <c r="P17" s="1575"/>
      <c r="Q17" s="1573"/>
      <c r="R17" s="1573"/>
      <c r="S17" s="1573"/>
      <c r="T17" s="1574"/>
      <c r="U17" s="215"/>
      <c r="V17" s="215"/>
    </row>
    <row r="18" spans="2:24" x14ac:dyDescent="0.25">
      <c r="B18" s="215"/>
      <c r="C18" s="226" t="s">
        <v>2080</v>
      </c>
      <c r="D18" s="280" t="s">
        <v>2015</v>
      </c>
      <c r="E18" s="229"/>
      <c r="F18" s="226" t="s">
        <v>2016</v>
      </c>
      <c r="G18" s="245"/>
      <c r="H18" s="245"/>
      <c r="I18" s="245"/>
      <c r="J18" s="215"/>
      <c r="K18" s="229"/>
      <c r="L18" s="229"/>
      <c r="P18" s="358"/>
      <c r="Q18" s="279"/>
      <c r="R18" s="279"/>
      <c r="S18" s="215"/>
      <c r="T18" s="369"/>
      <c r="U18" s="215"/>
      <c r="V18" s="215"/>
    </row>
    <row r="19" spans="2:24" x14ac:dyDescent="0.25">
      <c r="B19" s="215"/>
      <c r="C19" s="229"/>
      <c r="D19" s="280" t="s">
        <v>2018</v>
      </c>
      <c r="E19" s="229"/>
      <c r="F19" s="226" t="s">
        <v>2019</v>
      </c>
      <c r="G19" s="245"/>
      <c r="H19" s="245"/>
      <c r="I19" s="245"/>
      <c r="J19" s="215"/>
      <c r="K19" s="332" t="s">
        <v>2039</v>
      </c>
      <c r="L19" s="320"/>
      <c r="M19" s="315"/>
      <c r="N19" s="315"/>
      <c r="P19" s="378" t="s">
        <v>2001</v>
      </c>
      <c r="Q19" s="276" t="s">
        <v>1996</v>
      </c>
      <c r="R19" s="276" t="s">
        <v>1997</v>
      </c>
      <c r="S19" s="276" t="s">
        <v>2116</v>
      </c>
      <c r="T19" s="369"/>
      <c r="U19" s="215"/>
      <c r="V19" s="215"/>
    </row>
    <row r="20" spans="2:24" x14ac:dyDescent="0.25">
      <c r="B20" s="215"/>
      <c r="D20" s="330"/>
      <c r="E20" s="330"/>
      <c r="F20" s="245"/>
      <c r="G20" s="245"/>
      <c r="H20" s="245"/>
      <c r="I20" s="245"/>
      <c r="J20" s="215"/>
      <c r="K20" s="231" t="s">
        <v>2042</v>
      </c>
      <c r="L20" s="242"/>
      <c r="M20" s="315"/>
      <c r="N20" s="315"/>
      <c r="P20" s="381" t="s">
        <v>1998</v>
      </c>
      <c r="Q20" s="244">
        <v>16</v>
      </c>
      <c r="R20" s="244">
        <v>10</v>
      </c>
      <c r="S20" s="244">
        <v>12</v>
      </c>
      <c r="T20" s="380"/>
      <c r="V20" s="215"/>
    </row>
    <row r="21" spans="2:24" x14ac:dyDescent="0.25">
      <c r="C21" s="330" t="s">
        <v>2100</v>
      </c>
      <c r="K21" s="226"/>
      <c r="L21" s="229"/>
      <c r="P21" s="381" t="s">
        <v>1999</v>
      </c>
      <c r="Q21" s="244">
        <v>24</v>
      </c>
      <c r="R21" s="244">
        <v>15</v>
      </c>
      <c r="S21" s="244">
        <v>18</v>
      </c>
      <c r="T21" s="380"/>
      <c r="V21" s="215"/>
    </row>
    <row r="22" spans="2:24" x14ac:dyDescent="0.25">
      <c r="K22" s="332" t="s">
        <v>2105</v>
      </c>
      <c r="L22" s="333"/>
      <c r="P22" s="381" t="s">
        <v>2000</v>
      </c>
      <c r="Q22" s="244">
        <v>32</v>
      </c>
      <c r="R22" s="244">
        <v>20</v>
      </c>
      <c r="S22" s="244">
        <v>24</v>
      </c>
      <c r="T22" s="380"/>
    </row>
    <row r="23" spans="2:24" x14ac:dyDescent="0.25">
      <c r="B23" s="215"/>
      <c r="C23" s="323" t="s">
        <v>2022</v>
      </c>
      <c r="D23" s="324"/>
      <c r="E23" s="324"/>
      <c r="F23" s="324" t="s">
        <v>2023</v>
      </c>
      <c r="G23" s="324"/>
      <c r="H23" s="324"/>
      <c r="I23" s="324"/>
      <c r="J23" s="215"/>
      <c r="K23" s="231" t="s">
        <v>2046</v>
      </c>
      <c r="L23" s="242"/>
      <c r="P23" s="381"/>
      <c r="Q23" s="245"/>
      <c r="R23" s="245"/>
      <c r="S23" s="215"/>
      <c r="T23" s="369"/>
      <c r="U23" s="215"/>
    </row>
    <row r="24" spans="2:24" x14ac:dyDescent="0.25">
      <c r="B24" s="215"/>
      <c r="C24" s="317"/>
      <c r="D24" s="245"/>
      <c r="E24" s="245"/>
      <c r="F24" s="245"/>
      <c r="G24" s="245"/>
      <c r="H24" s="245"/>
      <c r="I24" s="245"/>
      <c r="J24" s="215"/>
      <c r="K24" s="315"/>
      <c r="P24" s="379" t="s">
        <v>2121</v>
      </c>
      <c r="S24" s="215"/>
      <c r="T24" s="380"/>
    </row>
    <row r="25" spans="2:24" x14ac:dyDescent="0.25">
      <c r="B25" s="215"/>
      <c r="C25" s="325" t="s">
        <v>2024</v>
      </c>
      <c r="D25" s="326"/>
      <c r="E25" s="326"/>
      <c r="F25" s="326"/>
      <c r="G25" s="327"/>
      <c r="H25" s="956" t="s">
        <v>2989</v>
      </c>
      <c r="I25" s="956"/>
      <c r="J25" s="328"/>
      <c r="K25" s="315"/>
      <c r="P25" s="377"/>
      <c r="S25" s="229"/>
      <c r="T25" s="380"/>
    </row>
    <row r="26" spans="2:24" x14ac:dyDescent="0.25">
      <c r="C26" s="345" t="s">
        <v>2025</v>
      </c>
      <c r="D26" s="136" t="s">
        <v>2026</v>
      </c>
      <c r="E26" s="136"/>
      <c r="F26" s="136"/>
      <c r="G26" s="136"/>
      <c r="H26" s="957" t="s">
        <v>2988</v>
      </c>
      <c r="I26" s="957"/>
      <c r="J26" s="331"/>
      <c r="K26" s="315"/>
      <c r="P26" s="1576" t="s">
        <v>2122</v>
      </c>
      <c r="Q26" s="1577"/>
      <c r="R26" s="1577"/>
      <c r="S26" s="1577"/>
      <c r="T26" s="1578"/>
      <c r="V26" s="215"/>
    </row>
    <row r="27" spans="2:24" x14ac:dyDescent="0.25">
      <c r="C27" s="341">
        <v>0</v>
      </c>
      <c r="D27" s="133" t="s">
        <v>2027</v>
      </c>
      <c r="E27" s="133"/>
      <c r="F27" s="133"/>
      <c r="G27" s="133"/>
      <c r="H27" s="133"/>
      <c r="I27" s="339"/>
      <c r="J27" s="339"/>
      <c r="K27" s="315"/>
      <c r="P27" s="1579"/>
      <c r="Q27" s="1577"/>
      <c r="R27" s="1577"/>
      <c r="S27" s="1577"/>
      <c r="T27" s="1578"/>
      <c r="V27" s="215"/>
    </row>
    <row r="28" spans="2:24" x14ac:dyDescent="0.25">
      <c r="C28" s="322" t="s">
        <v>2029</v>
      </c>
      <c r="D28" s="226" t="s">
        <v>2030</v>
      </c>
      <c r="E28" s="226"/>
      <c r="F28" s="226"/>
      <c r="G28" s="226"/>
      <c r="H28" s="226"/>
      <c r="K28" s="315"/>
      <c r="P28" s="1579"/>
      <c r="Q28" s="1577"/>
      <c r="R28" s="1577"/>
      <c r="S28" s="1577"/>
      <c r="T28" s="1578"/>
      <c r="U28" s="215"/>
      <c r="V28" s="215"/>
    </row>
    <row r="29" spans="2:24" ht="15.75" thickBot="1" x14ac:dyDescent="0.3">
      <c r="C29" s="341" t="s">
        <v>2031</v>
      </c>
      <c r="D29" s="133" t="s">
        <v>2032</v>
      </c>
      <c r="E29" s="133"/>
      <c r="F29" s="133"/>
      <c r="G29" s="133"/>
      <c r="H29" s="133"/>
      <c r="I29" s="339"/>
      <c r="J29" s="339"/>
      <c r="K29" s="315"/>
      <c r="P29" s="388" t="s">
        <v>2124</v>
      </c>
      <c r="Q29" s="385"/>
      <c r="R29" s="385"/>
      <c r="S29" s="385"/>
      <c r="T29" s="386"/>
      <c r="U29" s="215"/>
      <c r="V29" s="215"/>
    </row>
    <row r="30" spans="2:24" ht="15.75" thickBot="1" x14ac:dyDescent="0.3">
      <c r="C30" s="322" t="s">
        <v>2033</v>
      </c>
      <c r="D30" s="226" t="s">
        <v>2034</v>
      </c>
      <c r="E30" s="226"/>
      <c r="F30" s="226"/>
      <c r="G30" s="226"/>
      <c r="H30" s="226"/>
      <c r="K30" s="315"/>
      <c r="P30" s="229"/>
      <c r="Q30" s="229"/>
      <c r="R30" s="229"/>
      <c r="S30" s="229"/>
      <c r="T30" s="229"/>
      <c r="U30" s="215"/>
      <c r="V30" s="215"/>
    </row>
    <row r="31" spans="2:24" x14ac:dyDescent="0.25">
      <c r="C31" s="341" t="s">
        <v>2035</v>
      </c>
      <c r="D31" s="133" t="s">
        <v>2036</v>
      </c>
      <c r="E31" s="133"/>
      <c r="F31" s="133"/>
      <c r="G31" s="133"/>
      <c r="H31" s="133"/>
      <c r="I31" s="339"/>
      <c r="J31" s="339"/>
      <c r="K31" s="315"/>
      <c r="P31" s="376" t="s">
        <v>2112</v>
      </c>
      <c r="Q31" s="367"/>
      <c r="R31" s="367"/>
      <c r="S31" s="367"/>
      <c r="T31" s="368"/>
      <c r="U31" s="215"/>
      <c r="V31" s="215"/>
      <c r="W31"/>
      <c r="X31"/>
    </row>
    <row r="32" spans="2:24" x14ac:dyDescent="0.25">
      <c r="C32" s="322" t="s">
        <v>2037</v>
      </c>
      <c r="D32" s="226" t="s">
        <v>2038</v>
      </c>
      <c r="E32" s="226"/>
      <c r="F32" s="226"/>
      <c r="G32" s="226"/>
      <c r="H32" s="226"/>
      <c r="K32" s="315"/>
      <c r="P32" s="1569" t="s">
        <v>2117</v>
      </c>
      <c r="Q32" s="1580"/>
      <c r="R32" s="1580"/>
      <c r="S32" s="1580"/>
      <c r="T32" s="1581"/>
      <c r="U32" s="215"/>
      <c r="V32" s="215"/>
      <c r="W32"/>
      <c r="X32"/>
    </row>
    <row r="33" spans="2:24" x14ac:dyDescent="0.25">
      <c r="C33" s="341" t="s">
        <v>2040</v>
      </c>
      <c r="D33" s="133" t="s">
        <v>2041</v>
      </c>
      <c r="E33" s="133"/>
      <c r="F33" s="133"/>
      <c r="G33" s="133"/>
      <c r="H33" s="133"/>
      <c r="I33" s="339"/>
      <c r="J33" s="339"/>
      <c r="K33" s="315"/>
      <c r="P33" s="1582"/>
      <c r="Q33" s="1580"/>
      <c r="R33" s="1580"/>
      <c r="S33" s="1580"/>
      <c r="T33" s="1581"/>
      <c r="U33" s="215"/>
      <c r="V33" s="215"/>
      <c r="W33" s="373"/>
      <c r="X33" s="373"/>
    </row>
    <row r="34" spans="2:24" x14ac:dyDescent="0.25">
      <c r="C34" s="318"/>
      <c r="D34" s="319"/>
      <c r="E34" s="315"/>
      <c r="F34" s="315"/>
      <c r="G34" s="315"/>
      <c r="H34" s="315"/>
      <c r="I34" s="315"/>
      <c r="J34" s="315"/>
      <c r="K34" s="315"/>
      <c r="P34" s="1582"/>
      <c r="Q34" s="1580"/>
      <c r="R34" s="1580"/>
      <c r="S34" s="1580"/>
      <c r="T34" s="1581"/>
      <c r="U34" s="215"/>
      <c r="V34" s="215"/>
    </row>
    <row r="35" spans="2:24" x14ac:dyDescent="0.25">
      <c r="C35" s="325" t="s">
        <v>2072</v>
      </c>
      <c r="D35" s="329"/>
      <c r="E35" s="326"/>
      <c r="F35" s="326"/>
      <c r="G35" s="327"/>
      <c r="H35" s="956" t="s">
        <v>2989</v>
      </c>
      <c r="I35" s="523"/>
      <c r="J35" s="328"/>
      <c r="K35" s="315"/>
      <c r="P35" s="1582"/>
      <c r="Q35" s="1580"/>
      <c r="R35" s="1580"/>
      <c r="S35" s="1580"/>
      <c r="T35" s="1581"/>
      <c r="U35" s="215"/>
    </row>
    <row r="36" spans="2:24" x14ac:dyDescent="0.25">
      <c r="C36" s="346" t="s">
        <v>2025</v>
      </c>
      <c r="D36" s="347" t="s">
        <v>2026</v>
      </c>
      <c r="E36" s="347"/>
      <c r="F36" s="347"/>
      <c r="G36" s="347"/>
      <c r="H36" s="957" t="s">
        <v>2988</v>
      </c>
      <c r="I36" s="955"/>
      <c r="J36" s="331"/>
      <c r="K36" s="315"/>
      <c r="P36" s="377"/>
      <c r="Q36" s="245"/>
      <c r="R36" s="245"/>
      <c r="S36" s="215"/>
      <c r="T36" s="369"/>
      <c r="U36" s="215"/>
    </row>
    <row r="37" spans="2:24" x14ac:dyDescent="0.25">
      <c r="C37" s="341">
        <v>0</v>
      </c>
      <c r="D37" s="133" t="s">
        <v>2043</v>
      </c>
      <c r="E37" s="133"/>
      <c r="F37" s="133"/>
      <c r="G37" s="133"/>
      <c r="H37" s="133"/>
      <c r="I37" s="339"/>
      <c r="J37" s="339"/>
      <c r="K37" s="315"/>
      <c r="P37" s="378" t="s">
        <v>2111</v>
      </c>
      <c r="Q37" s="375" t="s">
        <v>1996</v>
      </c>
      <c r="R37" s="375" t="s">
        <v>1997</v>
      </c>
      <c r="S37" s="375" t="s">
        <v>2116</v>
      </c>
      <c r="T37" s="380"/>
    </row>
    <row r="38" spans="2:24" x14ac:dyDescent="0.25">
      <c r="C38" s="322" t="s">
        <v>2044</v>
      </c>
      <c r="D38" s="226" t="s">
        <v>2045</v>
      </c>
      <c r="E38" s="226"/>
      <c r="F38" s="226"/>
      <c r="G38" s="226"/>
      <c r="H38" s="226"/>
      <c r="K38" s="315"/>
      <c r="P38" s="381" t="s">
        <v>1998</v>
      </c>
      <c r="Q38" s="382">
        <v>9</v>
      </c>
      <c r="R38" s="382">
        <v>9</v>
      </c>
      <c r="S38" s="382">
        <v>15</v>
      </c>
      <c r="T38" s="351" t="s">
        <v>2125</v>
      </c>
    </row>
    <row r="39" spans="2:24" x14ac:dyDescent="0.25">
      <c r="C39" s="341" t="s">
        <v>2047</v>
      </c>
      <c r="D39" s="133" t="s">
        <v>2048</v>
      </c>
      <c r="E39" s="133"/>
      <c r="F39" s="133"/>
      <c r="G39" s="133"/>
      <c r="H39" s="133"/>
      <c r="I39" s="339"/>
      <c r="J39" s="339"/>
      <c r="K39" s="315"/>
      <c r="P39" s="381" t="s">
        <v>1999</v>
      </c>
      <c r="Q39" s="382">
        <v>13</v>
      </c>
      <c r="R39" s="382">
        <v>13</v>
      </c>
      <c r="S39" s="382">
        <v>20</v>
      </c>
      <c r="T39" s="351" t="s">
        <v>2126</v>
      </c>
    </row>
    <row r="40" spans="2:24" x14ac:dyDescent="0.25">
      <c r="C40" s="322" t="s">
        <v>2049</v>
      </c>
      <c r="D40" s="226" t="s">
        <v>2050</v>
      </c>
      <c r="E40" s="226"/>
      <c r="F40" s="226"/>
      <c r="G40" s="226"/>
      <c r="H40" s="226"/>
      <c r="K40" s="315"/>
      <c r="P40" s="381" t="s">
        <v>2000</v>
      </c>
      <c r="Q40" s="382">
        <v>17</v>
      </c>
      <c r="R40" s="382">
        <v>17</v>
      </c>
      <c r="S40" s="382">
        <v>25</v>
      </c>
      <c r="T40" s="351" t="s">
        <v>2128</v>
      </c>
      <c r="V40"/>
    </row>
    <row r="41" spans="2:24" x14ac:dyDescent="0.25">
      <c r="C41" s="341" t="s">
        <v>2033</v>
      </c>
      <c r="D41" s="133" t="s">
        <v>2051</v>
      </c>
      <c r="E41" s="133"/>
      <c r="F41" s="133"/>
      <c r="G41" s="133"/>
      <c r="H41" s="133"/>
      <c r="I41" s="339"/>
      <c r="J41" s="339"/>
      <c r="K41" s="315"/>
      <c r="P41" s="377"/>
      <c r="T41" s="380"/>
      <c r="V41"/>
    </row>
    <row r="42" spans="2:24" x14ac:dyDescent="0.25">
      <c r="C42" s="322" t="s">
        <v>2052</v>
      </c>
      <c r="D42" s="226" t="s">
        <v>2053</v>
      </c>
      <c r="E42" s="226"/>
      <c r="F42" s="226"/>
      <c r="G42" s="226"/>
      <c r="H42" s="226"/>
      <c r="P42" s="379" t="s">
        <v>2127</v>
      </c>
      <c r="Q42" s="215"/>
      <c r="R42" s="215"/>
      <c r="S42" s="215"/>
      <c r="T42" s="369"/>
      <c r="U42"/>
      <c r="V42" s="373"/>
    </row>
    <row r="43" spans="2:24" ht="15.75" thickBot="1" x14ac:dyDescent="0.3">
      <c r="C43" s="341" t="s">
        <v>2054</v>
      </c>
      <c r="D43" s="133" t="s">
        <v>2055</v>
      </c>
      <c r="E43" s="133"/>
      <c r="F43" s="133"/>
      <c r="G43" s="133"/>
      <c r="H43" s="133"/>
      <c r="I43" s="339"/>
      <c r="J43" s="339"/>
      <c r="P43" s="388" t="s">
        <v>2123</v>
      </c>
      <c r="Q43" s="387"/>
      <c r="R43" s="387"/>
      <c r="S43" s="387"/>
      <c r="T43" s="370"/>
      <c r="U43"/>
    </row>
    <row r="44" spans="2:24" x14ac:dyDescent="0.25">
      <c r="C44" s="319"/>
      <c r="D44" s="315"/>
      <c r="E44" s="315"/>
      <c r="F44" s="315"/>
      <c r="G44" s="315"/>
      <c r="H44" s="315"/>
      <c r="I44" s="315"/>
      <c r="J44" s="315"/>
      <c r="P44" s="374"/>
      <c r="Q44" s="373"/>
      <c r="R44" s="373"/>
      <c r="S44" s="373"/>
      <c r="T44" s="373"/>
      <c r="U44" s="373"/>
    </row>
    <row r="45" spans="2:24" ht="15.75" x14ac:dyDescent="0.25">
      <c r="B45" s="213">
        <v>6</v>
      </c>
      <c r="C45" s="214" t="s">
        <v>2095</v>
      </c>
      <c r="D45" s="245"/>
      <c r="E45" s="245"/>
      <c r="F45" s="245"/>
      <c r="G45" s="245"/>
      <c r="H45" s="245"/>
      <c r="P45" s="958" t="s">
        <v>2538</v>
      </c>
    </row>
    <row r="46" spans="2:24" x14ac:dyDescent="0.25">
      <c r="C46" s="245" t="s">
        <v>2217</v>
      </c>
      <c r="I46" s="245" t="s">
        <v>2106</v>
      </c>
      <c r="J46" s="315"/>
      <c r="K46" s="315"/>
      <c r="L46" s="315"/>
      <c r="M46" s="315"/>
      <c r="N46" s="315"/>
    </row>
    <row r="47" spans="2:24" x14ac:dyDescent="0.25">
      <c r="D47" s="315"/>
      <c r="E47" s="315"/>
      <c r="F47" s="315"/>
      <c r="G47" s="315"/>
      <c r="H47" s="315"/>
      <c r="I47" s="245" t="s">
        <v>2107</v>
      </c>
      <c r="P47" s="314" t="s">
        <v>3231</v>
      </c>
      <c r="T47" s="314" t="s">
        <v>3232</v>
      </c>
    </row>
    <row r="48" spans="2:24" x14ac:dyDescent="0.25">
      <c r="C48" s="229" t="s">
        <v>2073</v>
      </c>
      <c r="D48" s="239"/>
      <c r="E48" s="226"/>
      <c r="F48" s="229" t="s">
        <v>2057</v>
      </c>
      <c r="G48" s="229"/>
      <c r="H48" s="315"/>
      <c r="P48" s="136" t="s">
        <v>3340</v>
      </c>
      <c r="Q48" s="1327" t="s">
        <v>3223</v>
      </c>
      <c r="R48" s="146" t="s">
        <v>3224</v>
      </c>
      <c r="T48" s="1567" t="s">
        <v>3229</v>
      </c>
    </row>
    <row r="49" spans="2:20" x14ac:dyDescent="0.25">
      <c r="C49" s="239" t="s">
        <v>2056</v>
      </c>
      <c r="D49" s="239"/>
      <c r="E49" s="226"/>
      <c r="F49" s="229" t="s">
        <v>2058</v>
      </c>
      <c r="G49" s="229"/>
      <c r="H49" s="315"/>
      <c r="I49" s="229" t="s">
        <v>2094</v>
      </c>
      <c r="J49" s="229"/>
      <c r="K49" s="229"/>
      <c r="M49" s="315"/>
      <c r="N49" s="315"/>
      <c r="O49"/>
      <c r="P49" s="279" t="s">
        <v>3225</v>
      </c>
      <c r="Q49" s="279">
        <v>1</v>
      </c>
      <c r="R49" s="279">
        <v>0.5</v>
      </c>
      <c r="T49" s="1568"/>
    </row>
    <row r="50" spans="2:20" x14ac:dyDescent="0.25">
      <c r="C50" s="146" t="s">
        <v>1944</v>
      </c>
      <c r="D50" s="146" t="s">
        <v>2059</v>
      </c>
      <c r="E50" s="226"/>
      <c r="F50" s="146" t="s">
        <v>1981</v>
      </c>
      <c r="G50" s="146" t="s">
        <v>2059</v>
      </c>
      <c r="H50" s="315"/>
      <c r="I50" s="146" t="s">
        <v>2081</v>
      </c>
      <c r="J50" s="136"/>
      <c r="K50" s="136" t="s">
        <v>2082</v>
      </c>
      <c r="L50" s="146" t="s">
        <v>2102</v>
      </c>
      <c r="O50" s="516"/>
      <c r="P50" s="279" t="s">
        <v>3226</v>
      </c>
      <c r="Q50" s="279">
        <v>1.5</v>
      </c>
      <c r="R50" s="279">
        <v>1</v>
      </c>
      <c r="T50" s="1568"/>
    </row>
    <row r="51" spans="2:20" x14ac:dyDescent="0.25">
      <c r="C51" s="340" t="s">
        <v>2060</v>
      </c>
      <c r="D51" s="340">
        <v>1</v>
      </c>
      <c r="E51" s="226"/>
      <c r="F51" s="340">
        <v>13</v>
      </c>
      <c r="G51" s="340">
        <v>1</v>
      </c>
      <c r="H51" s="315"/>
      <c r="I51" s="341" t="s">
        <v>2092</v>
      </c>
      <c r="J51" s="133"/>
      <c r="K51" s="133" t="s">
        <v>2083</v>
      </c>
      <c r="L51" s="340" t="s">
        <v>2084</v>
      </c>
      <c r="O51" s="517"/>
      <c r="P51" s="279" t="s">
        <v>3227</v>
      </c>
      <c r="Q51" s="279">
        <v>2</v>
      </c>
      <c r="R51" s="279">
        <v>1.5</v>
      </c>
      <c r="T51" s="1567" t="s">
        <v>3230</v>
      </c>
    </row>
    <row r="52" spans="2:20" x14ac:dyDescent="0.25">
      <c r="C52" s="279" t="s">
        <v>2061</v>
      </c>
      <c r="D52" s="279">
        <v>2</v>
      </c>
      <c r="E52" s="279"/>
      <c r="F52" s="279">
        <v>14</v>
      </c>
      <c r="G52" s="279">
        <v>2</v>
      </c>
      <c r="H52" s="315"/>
      <c r="I52" s="322" t="s">
        <v>2093</v>
      </c>
      <c r="J52" s="226"/>
      <c r="K52" s="226" t="s">
        <v>2085</v>
      </c>
      <c r="L52" s="279" t="s">
        <v>2086</v>
      </c>
      <c r="O52" s="400"/>
      <c r="P52" s="526" t="s">
        <v>3228</v>
      </c>
      <c r="T52" s="1568"/>
    </row>
    <row r="53" spans="2:20" x14ac:dyDescent="0.25">
      <c r="C53" s="340" t="s">
        <v>2062</v>
      </c>
      <c r="D53" s="340">
        <v>3</v>
      </c>
      <c r="E53" s="279"/>
      <c r="F53" s="340">
        <v>15</v>
      </c>
      <c r="G53" s="340">
        <v>3</v>
      </c>
      <c r="H53" s="315"/>
      <c r="I53" s="341" t="s">
        <v>2087</v>
      </c>
      <c r="J53" s="133"/>
      <c r="K53" s="133" t="s">
        <v>1760</v>
      </c>
      <c r="L53" s="340" t="s">
        <v>2088</v>
      </c>
      <c r="O53" s="517"/>
      <c r="T53" s="1568"/>
    </row>
    <row r="54" spans="2:20" x14ac:dyDescent="0.25">
      <c r="C54" s="279" t="s">
        <v>2063</v>
      </c>
      <c r="D54" s="279">
        <v>4</v>
      </c>
      <c r="E54" s="279"/>
      <c r="F54" s="279">
        <v>16</v>
      </c>
      <c r="G54" s="279">
        <v>4</v>
      </c>
      <c r="H54" s="315"/>
      <c r="I54" s="322" t="s">
        <v>2089</v>
      </c>
      <c r="J54" s="226"/>
      <c r="K54" s="226" t="s">
        <v>2090</v>
      </c>
      <c r="L54" s="279" t="s">
        <v>2091</v>
      </c>
      <c r="O54" s="400"/>
      <c r="P54" s="314" t="s">
        <v>3339</v>
      </c>
      <c r="T54" s="1567" t="s">
        <v>3233</v>
      </c>
    </row>
    <row r="55" spans="2:20" x14ac:dyDescent="0.25">
      <c r="C55" s="340" t="s">
        <v>2064</v>
      </c>
      <c r="D55" s="340">
        <v>5</v>
      </c>
      <c r="E55" s="279"/>
      <c r="F55" s="340">
        <v>17</v>
      </c>
      <c r="G55" s="340">
        <v>5</v>
      </c>
      <c r="H55" s="315"/>
      <c r="O55" s="404"/>
      <c r="P55" s="245" t="s">
        <v>3234</v>
      </c>
      <c r="Q55" s="1184" t="s">
        <v>3239</v>
      </c>
      <c r="R55" s="1184"/>
      <c r="T55" s="1568"/>
    </row>
    <row r="56" spans="2:20" x14ac:dyDescent="0.25">
      <c r="C56" s="279" t="s">
        <v>2065</v>
      </c>
      <c r="D56" s="279">
        <v>6</v>
      </c>
      <c r="E56" s="279"/>
      <c r="F56" s="279">
        <v>18</v>
      </c>
      <c r="G56" s="279">
        <v>6</v>
      </c>
      <c r="H56" s="315"/>
      <c r="I56" s="245" t="s">
        <v>2108</v>
      </c>
      <c r="O56" s="404"/>
      <c r="P56" s="245" t="s">
        <v>3236</v>
      </c>
      <c r="Q56" s="1184" t="s">
        <v>3237</v>
      </c>
      <c r="R56" s="1184"/>
      <c r="T56" s="1568"/>
    </row>
    <row r="57" spans="2:20" x14ac:dyDescent="0.25">
      <c r="C57" s="340" t="s">
        <v>2066</v>
      </c>
      <c r="D57" s="340">
        <v>7</v>
      </c>
      <c r="E57" s="279"/>
      <c r="F57" s="340">
        <v>19</v>
      </c>
      <c r="G57" s="340">
        <v>7</v>
      </c>
      <c r="H57" s="315"/>
      <c r="I57" s="245" t="s">
        <v>2109</v>
      </c>
      <c r="O57" s="407"/>
      <c r="P57" s="245" t="s">
        <v>3235</v>
      </c>
      <c r="Q57" s="1184" t="s">
        <v>3238</v>
      </c>
      <c r="R57" s="1184"/>
    </row>
    <row r="58" spans="2:20" x14ac:dyDescent="0.25">
      <c r="C58" s="279" t="s">
        <v>2067</v>
      </c>
      <c r="D58" s="279">
        <v>8</v>
      </c>
      <c r="E58" s="279"/>
      <c r="F58" s="279">
        <v>20</v>
      </c>
      <c r="G58" s="279">
        <v>8</v>
      </c>
      <c r="H58" s="315"/>
      <c r="I58" s="315"/>
      <c r="O58" s="407"/>
    </row>
    <row r="59" spans="2:20" x14ac:dyDescent="0.25">
      <c r="C59" s="340" t="s">
        <v>2068</v>
      </c>
      <c r="D59" s="340">
        <v>9</v>
      </c>
      <c r="E59" s="279"/>
      <c r="F59" s="340">
        <v>21</v>
      </c>
      <c r="G59" s="340">
        <v>9</v>
      </c>
      <c r="H59" s="315"/>
      <c r="I59" s="315"/>
      <c r="M59" s="229"/>
      <c r="N59" s="229"/>
      <c r="P59" s="314" t="s">
        <v>3965</v>
      </c>
    </row>
    <row r="60" spans="2:20" x14ac:dyDescent="0.25">
      <c r="C60" s="279" t="s">
        <v>2069</v>
      </c>
      <c r="D60" s="279">
        <v>10</v>
      </c>
      <c r="E60" s="279"/>
      <c r="F60" s="279">
        <v>22</v>
      </c>
      <c r="G60" s="279">
        <v>10</v>
      </c>
      <c r="H60" s="315"/>
      <c r="I60" s="315"/>
      <c r="P60" s="331" t="s">
        <v>1795</v>
      </c>
      <c r="Q60" s="331" t="s">
        <v>1794</v>
      </c>
      <c r="R60" s="1183" t="s">
        <v>123</v>
      </c>
      <c r="S60" s="1183" t="s">
        <v>1878</v>
      </c>
      <c r="T60" s="331" t="s">
        <v>3168</v>
      </c>
    </row>
    <row r="61" spans="2:20" x14ac:dyDescent="0.25">
      <c r="P61" s="1424" t="s">
        <v>3169</v>
      </c>
      <c r="Q61" s="1425" t="s">
        <v>2473</v>
      </c>
      <c r="R61" s="1426" t="s">
        <v>1774</v>
      </c>
      <c r="S61" s="1426" t="s">
        <v>3191</v>
      </c>
      <c r="T61" s="1427" t="s">
        <v>3192</v>
      </c>
    </row>
    <row r="62" spans="2:20" x14ac:dyDescent="0.25">
      <c r="B62" s="215">
        <v>7</v>
      </c>
      <c r="C62" s="215" t="s">
        <v>2096</v>
      </c>
      <c r="D62" s="215"/>
      <c r="E62" s="215"/>
      <c r="F62" s="215"/>
      <c r="G62" s="215"/>
      <c r="H62" s="215"/>
      <c r="P62" s="1371" t="s">
        <v>3170</v>
      </c>
      <c r="Q62" s="241" t="s">
        <v>2478</v>
      </c>
      <c r="R62" s="230" t="s">
        <v>1767</v>
      </c>
      <c r="S62" s="230"/>
      <c r="T62" s="1423" t="s">
        <v>3193</v>
      </c>
    </row>
    <row r="63" spans="2:20" x14ac:dyDescent="0.25">
      <c r="B63" s="215"/>
      <c r="C63" s="245" t="s">
        <v>2218</v>
      </c>
      <c r="D63" s="215"/>
      <c r="E63" s="215"/>
      <c r="F63" s="215"/>
      <c r="G63" s="215"/>
      <c r="H63" s="215"/>
      <c r="O63" s="338"/>
      <c r="P63" s="1428" t="s">
        <v>3171</v>
      </c>
      <c r="Q63" s="1184" t="s">
        <v>2478</v>
      </c>
      <c r="R63" s="503" t="s">
        <v>1767</v>
      </c>
      <c r="S63" s="503" t="s">
        <v>3191</v>
      </c>
      <c r="T63" s="1429"/>
    </row>
    <row r="64" spans="2:20" x14ac:dyDescent="0.25">
      <c r="B64" s="215"/>
      <c r="C64" s="245" t="s">
        <v>2219</v>
      </c>
      <c r="D64" s="215"/>
      <c r="E64" s="215"/>
      <c r="F64" s="215"/>
      <c r="G64" s="215"/>
      <c r="H64" s="215"/>
      <c r="O64" s="336"/>
      <c r="P64" s="1371" t="s">
        <v>3172</v>
      </c>
      <c r="Q64" s="241" t="s">
        <v>2478</v>
      </c>
      <c r="R64" s="230" t="s">
        <v>1768</v>
      </c>
      <c r="S64" s="230"/>
      <c r="T64" s="1423" t="s">
        <v>3211</v>
      </c>
    </row>
    <row r="65" spans="2:25" x14ac:dyDescent="0.25">
      <c r="B65" s="215"/>
      <c r="C65" s="245"/>
      <c r="D65" s="215"/>
      <c r="E65" s="215"/>
      <c r="F65" s="215"/>
      <c r="G65" s="215"/>
      <c r="H65" s="215"/>
      <c r="P65" s="1428" t="s">
        <v>3173</v>
      </c>
      <c r="Q65" s="1184" t="s">
        <v>2478</v>
      </c>
      <c r="R65" s="503" t="s">
        <v>1769</v>
      </c>
      <c r="S65" s="503"/>
      <c r="T65" s="1429" t="s">
        <v>3194</v>
      </c>
    </row>
    <row r="66" spans="2:25" x14ac:dyDescent="0.25">
      <c r="B66" s="215">
        <v>8</v>
      </c>
      <c r="C66" s="215" t="s">
        <v>2103</v>
      </c>
      <c r="D66" s="215"/>
      <c r="E66" s="215"/>
      <c r="F66" s="215"/>
      <c r="G66" s="215"/>
      <c r="H66" s="215"/>
      <c r="I66" s="215"/>
      <c r="J66" s="215"/>
      <c r="K66" s="215"/>
      <c r="L66" s="215"/>
      <c r="M66" s="215"/>
      <c r="N66" s="215"/>
      <c r="P66" s="1371" t="s">
        <v>3174</v>
      </c>
      <c r="Q66" s="241" t="s">
        <v>3198</v>
      </c>
      <c r="R66" s="230" t="s">
        <v>1768</v>
      </c>
      <c r="S66" s="230" t="s">
        <v>3196</v>
      </c>
      <c r="T66" s="1423" t="s">
        <v>3222</v>
      </c>
    </row>
    <row r="67" spans="2:25" x14ac:dyDescent="0.25">
      <c r="B67" s="215"/>
      <c r="C67" s="245" t="s">
        <v>2220</v>
      </c>
      <c r="D67" s="215"/>
      <c r="E67" s="215"/>
      <c r="F67" s="215"/>
      <c r="G67" s="215"/>
      <c r="H67" s="215"/>
      <c r="I67" s="215"/>
      <c r="J67" s="215"/>
      <c r="K67" s="215"/>
      <c r="L67" s="215"/>
      <c r="M67" s="215"/>
      <c r="N67" s="215"/>
      <c r="P67" s="1428" t="s">
        <v>3195</v>
      </c>
      <c r="Q67" s="1184" t="s">
        <v>3198</v>
      </c>
      <c r="R67" s="503" t="s">
        <v>1771</v>
      </c>
      <c r="S67" s="503" t="s">
        <v>3196</v>
      </c>
      <c r="T67" s="1429" t="s">
        <v>3197</v>
      </c>
    </row>
    <row r="68" spans="2:25" x14ac:dyDescent="0.25">
      <c r="B68" s="215"/>
      <c r="C68" s="245" t="s">
        <v>2221</v>
      </c>
      <c r="D68" s="215"/>
      <c r="E68" s="215"/>
      <c r="F68" s="215"/>
      <c r="G68" s="215"/>
      <c r="H68" s="215"/>
      <c r="I68" s="215"/>
      <c r="J68" s="215"/>
      <c r="K68" s="215"/>
      <c r="L68" s="215"/>
      <c r="M68" s="215"/>
      <c r="N68" s="215"/>
      <c r="P68" s="1371" t="s">
        <v>3199</v>
      </c>
      <c r="Q68" s="241" t="s">
        <v>3198</v>
      </c>
      <c r="R68" s="230" t="s">
        <v>1851</v>
      </c>
      <c r="S68" s="230" t="s">
        <v>3200</v>
      </c>
      <c r="T68" s="1423" t="s">
        <v>3201</v>
      </c>
    </row>
    <row r="69" spans="2:25" x14ac:dyDescent="0.25">
      <c r="B69" s="215"/>
      <c r="C69" s="245" t="s">
        <v>2222</v>
      </c>
      <c r="D69" s="229"/>
      <c r="E69" s="229"/>
      <c r="F69" s="229"/>
      <c r="G69" s="229"/>
      <c r="H69" s="229"/>
      <c r="I69" s="229"/>
      <c r="J69" s="229"/>
      <c r="K69" s="229"/>
      <c r="L69" s="229"/>
      <c r="M69" s="229"/>
      <c r="N69" s="229"/>
      <c r="P69" s="1428" t="s">
        <v>3175</v>
      </c>
      <c r="Q69" s="1184" t="s">
        <v>3190</v>
      </c>
      <c r="R69" s="503" t="s">
        <v>1772</v>
      </c>
      <c r="S69" s="503" t="s">
        <v>3200</v>
      </c>
      <c r="T69" s="1429" t="s">
        <v>2586</v>
      </c>
    </row>
    <row r="70" spans="2:25" x14ac:dyDescent="0.25">
      <c r="B70" s="215"/>
      <c r="C70" s="245" t="s">
        <v>2223</v>
      </c>
      <c r="M70" s="229"/>
      <c r="N70" s="229"/>
      <c r="P70" s="1371" t="s">
        <v>3176</v>
      </c>
      <c r="Q70" s="241" t="s">
        <v>3190</v>
      </c>
      <c r="R70" s="230" t="s">
        <v>1772</v>
      </c>
      <c r="S70" s="230"/>
      <c r="T70" s="1423" t="s">
        <v>3202</v>
      </c>
    </row>
    <row r="71" spans="2:25" x14ac:dyDescent="0.25">
      <c r="C71" s="245" t="s">
        <v>2225</v>
      </c>
      <c r="M71" s="229"/>
      <c r="N71" s="229"/>
      <c r="P71" s="1428" t="s">
        <v>3177</v>
      </c>
      <c r="Q71" s="1184" t="s">
        <v>3189</v>
      </c>
      <c r="R71" s="503" t="s">
        <v>1772</v>
      </c>
      <c r="S71" s="503"/>
      <c r="T71" s="1429"/>
    </row>
    <row r="72" spans="2:25" x14ac:dyDescent="0.25">
      <c r="C72" s="245" t="s">
        <v>2224</v>
      </c>
      <c r="J72" s="229"/>
      <c r="K72" s="229"/>
      <c r="L72" s="229"/>
      <c r="M72" s="226"/>
      <c r="N72" s="226"/>
      <c r="P72" s="1371" t="s">
        <v>3203</v>
      </c>
      <c r="Q72" s="241" t="s">
        <v>3189</v>
      </c>
      <c r="R72" s="230" t="s">
        <v>1774</v>
      </c>
      <c r="S72" s="230" t="s">
        <v>2778</v>
      </c>
      <c r="T72" s="1423" t="s">
        <v>3204</v>
      </c>
    </row>
    <row r="73" spans="2:25" x14ac:dyDescent="0.25">
      <c r="J73" s="229"/>
      <c r="K73" s="229"/>
      <c r="L73" s="229"/>
      <c r="M73" s="226"/>
      <c r="N73" s="226"/>
      <c r="P73" s="1428" t="s">
        <v>3205</v>
      </c>
      <c r="Q73" s="1184" t="s">
        <v>3189</v>
      </c>
      <c r="R73" s="503" t="s">
        <v>1775</v>
      </c>
      <c r="S73" s="503" t="s">
        <v>3200</v>
      </c>
      <c r="T73" s="1429" t="s">
        <v>3206</v>
      </c>
    </row>
    <row r="74" spans="2:25" s="337" customFormat="1" x14ac:dyDescent="0.25">
      <c r="B74" s="314"/>
      <c r="C74" s="136" t="s">
        <v>2187</v>
      </c>
      <c r="D74" s="136"/>
      <c r="E74" s="136" t="s">
        <v>2186</v>
      </c>
      <c r="F74" s="331"/>
      <c r="G74" s="136" t="s">
        <v>2194</v>
      </c>
      <c r="H74" s="136"/>
      <c r="I74" s="331"/>
      <c r="J74" s="136"/>
      <c r="K74" s="241"/>
      <c r="L74" s="241"/>
      <c r="M74" s="226"/>
      <c r="N74" s="226"/>
      <c r="O74" s="314"/>
      <c r="P74" s="1371" t="s">
        <v>3209</v>
      </c>
      <c r="Q74" s="241" t="s">
        <v>3189</v>
      </c>
      <c r="R74" s="230" t="s">
        <v>1775</v>
      </c>
      <c r="S74" s="230" t="s">
        <v>3210</v>
      </c>
      <c r="T74" s="1423"/>
      <c r="U74" s="314"/>
      <c r="V74" s="314"/>
      <c r="W74" s="314"/>
      <c r="X74" s="314"/>
      <c r="Y74" s="314"/>
    </row>
    <row r="75" spans="2:25" x14ac:dyDescent="0.25">
      <c r="B75" s="337"/>
      <c r="C75" s="226" t="s">
        <v>2188</v>
      </c>
      <c r="D75" s="229"/>
      <c r="E75" s="226" t="s">
        <v>2191</v>
      </c>
      <c r="G75" s="226" t="s">
        <v>2195</v>
      </c>
      <c r="H75" s="229"/>
      <c r="J75" s="229"/>
      <c r="K75" s="226"/>
      <c r="L75" s="226"/>
      <c r="M75" s="337"/>
      <c r="N75" s="337"/>
      <c r="P75" s="1428" t="s">
        <v>3178</v>
      </c>
      <c r="Q75" s="1184" t="s">
        <v>3189</v>
      </c>
      <c r="R75" s="503" t="s">
        <v>1775</v>
      </c>
      <c r="S75" s="503" t="s">
        <v>3207</v>
      </c>
      <c r="T75" s="1429" t="s">
        <v>3208</v>
      </c>
    </row>
    <row r="76" spans="2:25" x14ac:dyDescent="0.25">
      <c r="C76" s="226" t="s">
        <v>2189</v>
      </c>
      <c r="D76" s="229"/>
      <c r="E76" s="226" t="s">
        <v>2192</v>
      </c>
      <c r="G76" s="226" t="s">
        <v>3337</v>
      </c>
      <c r="H76" s="226"/>
      <c r="P76" s="1371" t="s">
        <v>3179</v>
      </c>
      <c r="Q76" s="241" t="s">
        <v>2521</v>
      </c>
      <c r="R76" s="230" t="s">
        <v>1769</v>
      </c>
      <c r="S76" s="230" t="s">
        <v>3212</v>
      </c>
      <c r="T76" s="1423" t="s">
        <v>3213</v>
      </c>
      <c r="W76" s="337"/>
      <c r="X76" s="337"/>
      <c r="Y76" s="337"/>
    </row>
    <row r="77" spans="2:25" x14ac:dyDescent="0.25">
      <c r="B77" s="215"/>
      <c r="C77" s="226" t="s">
        <v>2190</v>
      </c>
      <c r="D77" s="229"/>
      <c r="E77" s="226" t="s">
        <v>2193</v>
      </c>
      <c r="G77" s="226" t="s">
        <v>3338</v>
      </c>
      <c r="H77" s="226"/>
      <c r="P77" s="1428" t="s">
        <v>3188</v>
      </c>
      <c r="Q77" s="1184" t="s">
        <v>2525</v>
      </c>
      <c r="R77" s="503" t="s">
        <v>1767</v>
      </c>
      <c r="S77" s="503" t="s">
        <v>3196</v>
      </c>
      <c r="T77" s="1429" t="s">
        <v>3214</v>
      </c>
    </row>
    <row r="78" spans="2:25" x14ac:dyDescent="0.25">
      <c r="B78" s="215"/>
      <c r="C78" s="226"/>
      <c r="D78" s="229"/>
      <c r="E78" s="226"/>
      <c r="G78" s="226"/>
      <c r="H78" s="226"/>
      <c r="P78" s="1371" t="s">
        <v>3180</v>
      </c>
      <c r="Q78" s="241" t="s">
        <v>2525</v>
      </c>
      <c r="R78" s="230" t="s">
        <v>1771</v>
      </c>
      <c r="S78" s="230" t="s">
        <v>3196</v>
      </c>
      <c r="T78" s="1423" t="s">
        <v>1946</v>
      </c>
    </row>
    <row r="79" spans="2:25" x14ac:dyDescent="0.25">
      <c r="B79" s="215"/>
      <c r="C79" s="226"/>
      <c r="D79" s="229"/>
      <c r="E79" s="226"/>
      <c r="G79" s="226"/>
      <c r="H79" s="226"/>
      <c r="P79" s="1428" t="s">
        <v>3181</v>
      </c>
      <c r="Q79" s="1184" t="s">
        <v>2525</v>
      </c>
      <c r="R79" s="503" t="s">
        <v>1774</v>
      </c>
      <c r="S79" s="503" t="s">
        <v>3196</v>
      </c>
      <c r="T79" s="1429" t="s">
        <v>3220</v>
      </c>
    </row>
    <row r="80" spans="2:25" x14ac:dyDescent="0.25">
      <c r="B80" s="215"/>
      <c r="C80" s="1563" t="s">
        <v>3240</v>
      </c>
      <c r="D80" s="1564"/>
      <c r="E80" s="1564"/>
      <c r="F80" s="1564"/>
      <c r="G80" s="1564"/>
      <c r="H80" s="1564"/>
      <c r="I80" s="1564"/>
      <c r="J80" s="1564"/>
      <c r="K80" s="1565"/>
      <c r="L80" s="1565"/>
      <c r="P80" s="1371" t="s">
        <v>3182</v>
      </c>
      <c r="Q80" s="241" t="s">
        <v>2525</v>
      </c>
      <c r="R80" s="230" t="s">
        <v>1775</v>
      </c>
      <c r="S80" s="230" t="s">
        <v>3207</v>
      </c>
      <c r="T80" s="1423" t="s">
        <v>3221</v>
      </c>
    </row>
    <row r="81" spans="2:22" x14ac:dyDescent="0.25">
      <c r="B81" s="215"/>
      <c r="C81" s="1566"/>
      <c r="D81" s="1564"/>
      <c r="E81" s="1564"/>
      <c r="F81" s="1564"/>
      <c r="G81" s="1564"/>
      <c r="H81" s="1564"/>
      <c r="I81" s="1564"/>
      <c r="J81" s="1564"/>
      <c r="K81" s="1565"/>
      <c r="L81" s="1565"/>
      <c r="P81" s="1428" t="s">
        <v>3183</v>
      </c>
      <c r="Q81" s="1184" t="s">
        <v>2528</v>
      </c>
      <c r="R81" s="503" t="s">
        <v>1770</v>
      </c>
      <c r="S81" s="503" t="s">
        <v>3207</v>
      </c>
      <c r="T81" s="1429" t="s">
        <v>3215</v>
      </c>
    </row>
    <row r="82" spans="2:22" x14ac:dyDescent="0.25">
      <c r="B82" s="215"/>
      <c r="C82" s="226"/>
      <c r="D82" s="229"/>
      <c r="E82" s="226"/>
      <c r="G82" s="226"/>
      <c r="H82" s="226"/>
      <c r="P82" s="1371" t="s">
        <v>3184</v>
      </c>
      <c r="Q82" s="241" t="s">
        <v>3187</v>
      </c>
      <c r="R82" s="230" t="s">
        <v>1767</v>
      </c>
      <c r="S82" s="230" t="s">
        <v>3207</v>
      </c>
      <c r="T82" s="1423" t="s">
        <v>3216</v>
      </c>
    </row>
    <row r="83" spans="2:22" ht="15.75" thickBot="1" x14ac:dyDescent="0.3">
      <c r="B83" s="215"/>
      <c r="K83" s="1284"/>
      <c r="L83" s="1284"/>
      <c r="M83" s="1284"/>
      <c r="P83" s="1428" t="s">
        <v>3185</v>
      </c>
      <c r="Q83" s="1184" t="s">
        <v>3186</v>
      </c>
      <c r="R83" s="503" t="s">
        <v>1768</v>
      </c>
      <c r="S83" s="503" t="s">
        <v>3207</v>
      </c>
      <c r="T83" s="1429" t="s">
        <v>3217</v>
      </c>
    </row>
    <row r="84" spans="2:22" ht="15.75" thickBot="1" x14ac:dyDescent="0.3">
      <c r="B84" s="215"/>
      <c r="C84" s="1358" t="s">
        <v>1939</v>
      </c>
      <c r="D84" s="1359"/>
      <c r="E84" s="1360" t="s">
        <v>1944</v>
      </c>
      <c r="F84" s="1361" t="s">
        <v>137</v>
      </c>
      <c r="G84" s="1361" t="s">
        <v>3269</v>
      </c>
      <c r="H84" s="1361" t="s">
        <v>3270</v>
      </c>
      <c r="I84" s="1362" t="s">
        <v>3271</v>
      </c>
      <c r="J84" s="1363" t="s">
        <v>3272</v>
      </c>
      <c r="K84" s="1364" t="s">
        <v>3273</v>
      </c>
      <c r="L84" s="1365" t="s">
        <v>3274</v>
      </c>
      <c r="M84" s="1285" t="s">
        <v>3275</v>
      </c>
      <c r="N84" s="389"/>
      <c r="P84" s="1371" t="s">
        <v>3218</v>
      </c>
      <c r="Q84" s="241" t="s">
        <v>3186</v>
      </c>
      <c r="R84" s="230" t="s">
        <v>1851</v>
      </c>
      <c r="S84" s="230" t="s">
        <v>3207</v>
      </c>
      <c r="T84" s="1423" t="s">
        <v>3219</v>
      </c>
    </row>
    <row r="85" spans="2:22" ht="15.75" thickBot="1" x14ac:dyDescent="0.3">
      <c r="B85" s="215"/>
      <c r="C85" s="349" t="s">
        <v>3276</v>
      </c>
      <c r="D85" s="219"/>
      <c r="E85" s="1372">
        <v>25</v>
      </c>
      <c r="F85" s="1373" t="s">
        <v>3277</v>
      </c>
      <c r="G85" s="1373">
        <v>4</v>
      </c>
      <c r="H85" s="1374">
        <f ca="1">(L85+L86+L87)+G85</f>
        <v>14</v>
      </c>
      <c r="I85" s="1320">
        <f ca="1">M88</f>
        <v>1</v>
      </c>
      <c r="J85" s="1319">
        <f ca="1">H85*I85</f>
        <v>14</v>
      </c>
      <c r="K85" s="1321">
        <f ca="1">INT((RAND()*3))+1</f>
        <v>3</v>
      </c>
      <c r="L85" s="1322">
        <f ca="1">INT((RAND()*6))+1</f>
        <v>4</v>
      </c>
      <c r="M85" s="1286" t="str">
        <f ca="1">"Roll: "&amp;INT((RAND()*100))+1</f>
        <v>Roll: 94</v>
      </c>
      <c r="N85" s="390"/>
      <c r="V85" s="337"/>
    </row>
    <row r="86" spans="2:22" ht="15.75" thickBot="1" x14ac:dyDescent="0.3">
      <c r="B86" s="245"/>
      <c r="C86" s="1218"/>
      <c r="D86" s="215"/>
      <c r="E86" s="215"/>
      <c r="F86" s="1219"/>
      <c r="G86" s="1219"/>
      <c r="H86" s="1219"/>
      <c r="I86" s="1280"/>
      <c r="J86" s="1283"/>
      <c r="K86" s="1321">
        <f t="shared" ref="K86:K91" ca="1" si="0">INT((RAND()*3))+1</f>
        <v>2</v>
      </c>
      <c r="L86" s="1322">
        <f t="shared" ref="L86:L91" ca="1" si="1">INT((RAND()*6))+1</f>
        <v>2</v>
      </c>
      <c r="M86" s="1286"/>
      <c r="N86" s="335"/>
      <c r="P86" s="1420" t="s">
        <v>3963</v>
      </c>
      <c r="Q86" s="1420"/>
      <c r="R86" s="1420"/>
      <c r="S86" s="1420"/>
      <c r="T86" s="1420"/>
    </row>
    <row r="87" spans="2:22" ht="15.75" thickBot="1" x14ac:dyDescent="0.3">
      <c r="C87" s="381" t="s">
        <v>2397</v>
      </c>
      <c r="D87" s="245"/>
      <c r="E87" s="244" t="s">
        <v>3278</v>
      </c>
      <c r="F87" s="244" t="s">
        <v>137</v>
      </c>
      <c r="G87" s="244" t="s">
        <v>2059</v>
      </c>
      <c r="H87" s="244" t="s">
        <v>1922</v>
      </c>
      <c r="I87" s="1366" t="s">
        <v>1878</v>
      </c>
      <c r="J87" s="1367" t="s">
        <v>3279</v>
      </c>
      <c r="K87" s="1321">
        <f t="shared" ca="1" si="0"/>
        <v>2</v>
      </c>
      <c r="L87" s="1322">
        <f t="shared" ca="1" si="1"/>
        <v>4</v>
      </c>
      <c r="M87" s="1286" t="str">
        <f ca="1">IF(M85&gt;40,"Non-vital",IF(M85&gt;25,"Vital",IF(M85&gt;10,"Super-vital","Ultra-vital")))</f>
        <v>Non-vital</v>
      </c>
      <c r="P87" s="1421" t="s">
        <v>3964</v>
      </c>
      <c r="Q87" s="1421"/>
      <c r="R87" s="1421" t="s">
        <v>3168</v>
      </c>
      <c r="S87" s="1421"/>
      <c r="T87" s="1422"/>
      <c r="U87" s="337"/>
    </row>
    <row r="88" spans="2:22" ht="15.75" thickBot="1" x14ac:dyDescent="0.3">
      <c r="C88" s="1583" t="s">
        <v>327</v>
      </c>
      <c r="D88" s="1584"/>
      <c r="E88" s="240">
        <f>INT(F95/10)</f>
        <v>4</v>
      </c>
      <c r="F88" s="240" t="s">
        <v>3280</v>
      </c>
      <c r="G88" s="240">
        <v>1</v>
      </c>
      <c r="H88" s="240">
        <f>E88*10</f>
        <v>40</v>
      </c>
      <c r="I88" s="1316" t="s">
        <v>1935</v>
      </c>
      <c r="J88" s="1317">
        <f ca="1">K85+G88+K86+G88+K87+G88+K88+G88+K89+G88+K90+G88</f>
        <v>21</v>
      </c>
      <c r="K88" s="1321">
        <f t="shared" ca="1" si="0"/>
        <v>2</v>
      </c>
      <c r="L88" s="1323">
        <f t="shared" ca="1" si="1"/>
        <v>6</v>
      </c>
      <c r="M88" s="1287">
        <f ca="1">IF(M85&gt;40,1,IF(M85&gt;25,2,IF(M85&gt;10,3,4)))</f>
        <v>1</v>
      </c>
      <c r="P88" s="1590" t="s">
        <v>3940</v>
      </c>
      <c r="Q88" s="1590"/>
      <c r="R88" s="1591" t="s">
        <v>3941</v>
      </c>
      <c r="S88" s="1592"/>
      <c r="T88" s="1592"/>
    </row>
    <row r="89" spans="2:22" ht="15.75" thickBot="1" x14ac:dyDescent="0.3">
      <c r="C89" s="1585" t="s">
        <v>171</v>
      </c>
      <c r="D89" s="1584"/>
      <c r="E89" s="458">
        <v>1</v>
      </c>
      <c r="F89" s="458" t="s">
        <v>1948</v>
      </c>
      <c r="G89" s="458">
        <f>INT(F96/10)</f>
        <v>4</v>
      </c>
      <c r="H89" s="1318">
        <v>35</v>
      </c>
      <c r="I89" s="1316" t="s">
        <v>3281</v>
      </c>
      <c r="J89" s="1319">
        <f ca="1">L85+L86+G89</f>
        <v>10</v>
      </c>
      <c r="K89" s="1321">
        <f t="shared" ca="1" si="0"/>
        <v>3</v>
      </c>
      <c r="L89" s="1323">
        <f t="shared" ca="1" si="1"/>
        <v>4</v>
      </c>
      <c r="M89" s="213" t="s">
        <v>3928</v>
      </c>
      <c r="P89" s="1593" t="s">
        <v>3188</v>
      </c>
      <c r="Q89" s="1593"/>
      <c r="R89" s="1594" t="s">
        <v>1948</v>
      </c>
      <c r="S89" s="1595" t="s">
        <v>3942</v>
      </c>
      <c r="T89" s="1595"/>
    </row>
    <row r="90" spans="2:22" ht="15.75" thickBot="1" x14ac:dyDescent="0.3">
      <c r="C90" s="1585" t="s">
        <v>172</v>
      </c>
      <c r="D90" s="1584"/>
      <c r="E90" s="458">
        <f>INT(F96/10)</f>
        <v>4</v>
      </c>
      <c r="F90" s="458" t="s">
        <v>3282</v>
      </c>
      <c r="G90" s="458">
        <v>2</v>
      </c>
      <c r="H90" s="1318">
        <f>E90*10</f>
        <v>40</v>
      </c>
      <c r="I90" s="1316" t="s">
        <v>3283</v>
      </c>
      <c r="J90" s="1319">
        <f ca="1">L85+G90+L86+G90+L87+G90+L88+G90+L89+G90+L90+G90</f>
        <v>37</v>
      </c>
      <c r="K90" s="1321">
        <f t="shared" ca="1" si="0"/>
        <v>3</v>
      </c>
      <c r="L90" s="1323">
        <f t="shared" ca="1" si="1"/>
        <v>5</v>
      </c>
      <c r="M90" s="213" t="s">
        <v>3927</v>
      </c>
      <c r="P90" s="1590" t="s">
        <v>3943</v>
      </c>
      <c r="Q90" s="1590"/>
      <c r="R90" s="1591" t="s">
        <v>3944</v>
      </c>
      <c r="S90" s="1592" t="s">
        <v>3945</v>
      </c>
      <c r="T90" s="1592"/>
    </row>
    <row r="91" spans="2:22" ht="15.75" thickBot="1" x14ac:dyDescent="0.3">
      <c r="C91" s="1586"/>
      <c r="D91" s="1587"/>
      <c r="E91" s="292"/>
      <c r="F91" s="292"/>
      <c r="G91" s="292"/>
      <c r="H91" s="1220"/>
      <c r="I91" s="1281"/>
      <c r="J91" s="1279"/>
      <c r="K91" s="238">
        <f t="shared" ca="1" si="0"/>
        <v>3</v>
      </c>
      <c r="L91" s="1324">
        <f t="shared" ca="1" si="1"/>
        <v>1</v>
      </c>
      <c r="M91" s="211" t="s">
        <v>3926</v>
      </c>
      <c r="P91" s="1593" t="s">
        <v>3180</v>
      </c>
      <c r="Q91" s="1593"/>
      <c r="R91" s="1594" t="s">
        <v>1946</v>
      </c>
      <c r="S91" s="1595" t="s">
        <v>3946</v>
      </c>
      <c r="T91" s="1595"/>
    </row>
    <row r="92" spans="2:22" ht="15.75" thickBot="1" x14ac:dyDescent="0.3">
      <c r="C92" s="1588"/>
      <c r="D92" s="1589"/>
      <c r="E92" s="1221"/>
      <c r="F92" s="1221"/>
      <c r="G92" s="1221"/>
      <c r="H92" s="1222"/>
      <c r="I92" s="1282"/>
      <c r="J92" s="1279"/>
      <c r="K92" s="1325"/>
      <c r="L92" s="1326"/>
      <c r="M92"/>
      <c r="P92" s="1590" t="s">
        <v>3947</v>
      </c>
      <c r="Q92" s="1590"/>
      <c r="R92" s="1591" t="s">
        <v>3948</v>
      </c>
      <c r="S92" s="1592" t="s">
        <v>3949</v>
      </c>
      <c r="T92" s="1592"/>
    </row>
    <row r="93" spans="2:22" x14ac:dyDescent="0.25">
      <c r="C93" s="226" t="s">
        <v>3929</v>
      </c>
      <c r="D93" s="211"/>
      <c r="E93" s="211"/>
      <c r="F93" s="211"/>
      <c r="G93" s="211"/>
      <c r="H93" s="211"/>
      <c r="I93" s="211"/>
      <c r="J93" s="211"/>
      <c r="K93" s="211"/>
      <c r="L93"/>
      <c r="M93"/>
      <c r="P93" s="1593" t="s">
        <v>3950</v>
      </c>
      <c r="Q93" s="1593"/>
      <c r="R93" s="1594" t="s">
        <v>3951</v>
      </c>
      <c r="S93" s="1595" t="s">
        <v>3952</v>
      </c>
      <c r="T93" s="1595"/>
    </row>
    <row r="94" spans="2:22" x14ac:dyDescent="0.25">
      <c r="C94" s="226"/>
      <c r="D94" s="211"/>
      <c r="E94" s="211"/>
      <c r="F94" s="211"/>
      <c r="G94" s="211"/>
      <c r="H94" s="211"/>
      <c r="I94" s="211"/>
      <c r="J94" s="211"/>
      <c r="K94" s="211"/>
      <c r="L94"/>
      <c r="M94"/>
      <c r="P94" s="1590" t="s">
        <v>3953</v>
      </c>
      <c r="Q94" s="1590"/>
      <c r="R94" s="1591" t="s">
        <v>3954</v>
      </c>
      <c r="S94" s="1592" t="s">
        <v>3955</v>
      </c>
      <c r="T94" s="1592"/>
    </row>
    <row r="95" spans="2:22" x14ac:dyDescent="0.25">
      <c r="C95" s="1368" t="s">
        <v>3924</v>
      </c>
      <c r="D95" s="1369"/>
      <c r="E95" s="331"/>
      <c r="F95" s="1370">
        <v>43</v>
      </c>
      <c r="G95" s="211"/>
      <c r="H95" s="211"/>
      <c r="I95" s="211"/>
      <c r="J95" s="211"/>
      <c r="K95" s="211"/>
      <c r="L95"/>
      <c r="M95"/>
      <c r="P95" s="1593" t="s">
        <v>3181</v>
      </c>
      <c r="Q95" s="1593"/>
      <c r="R95" s="1594" t="s">
        <v>3956</v>
      </c>
      <c r="S95" s="1595"/>
      <c r="T95" s="1595"/>
    </row>
    <row r="96" spans="2:22" x14ac:dyDescent="0.25">
      <c r="C96" s="1371" t="s">
        <v>3925</v>
      </c>
      <c r="D96" s="1369"/>
      <c r="E96" s="1369"/>
      <c r="F96" s="1370">
        <v>43</v>
      </c>
      <c r="G96" s="211"/>
      <c r="H96" s="211"/>
      <c r="I96" s="211"/>
      <c r="J96" s="211"/>
      <c r="K96" s="211"/>
      <c r="L96"/>
      <c r="M96"/>
      <c r="P96" s="1590" t="s">
        <v>2928</v>
      </c>
      <c r="Q96" s="1590"/>
      <c r="R96" s="1591" t="s">
        <v>3957</v>
      </c>
      <c r="S96" s="1592"/>
      <c r="T96" s="1592"/>
    </row>
    <row r="97" spans="3:20" x14ac:dyDescent="0.25">
      <c r="C97"/>
      <c r="D97" s="211"/>
      <c r="E97" s="211"/>
      <c r="F97" s="211"/>
      <c r="G97" s="211"/>
      <c r="H97" s="211"/>
      <c r="I97" s="211"/>
      <c r="J97" s="211"/>
      <c r="K97" s="211"/>
      <c r="L97"/>
      <c r="M97"/>
      <c r="P97" s="1593" t="s">
        <v>2896</v>
      </c>
      <c r="Q97" s="1593"/>
      <c r="R97" s="1594" t="s">
        <v>3958</v>
      </c>
      <c r="S97" s="1595"/>
      <c r="T97" s="1595"/>
    </row>
    <row r="98" spans="3:20" x14ac:dyDescent="0.25">
      <c r="D98" s="211"/>
      <c r="E98" s="211"/>
      <c r="F98" s="211"/>
      <c r="G98" s="211"/>
      <c r="H98" s="211"/>
      <c r="I98" s="211"/>
      <c r="J98" s="211"/>
      <c r="K98" s="211"/>
      <c r="L98"/>
      <c r="M98"/>
      <c r="P98" s="1590" t="s">
        <v>2845</v>
      </c>
      <c r="Q98" s="1590"/>
      <c r="R98" s="1591" t="s">
        <v>3959</v>
      </c>
      <c r="S98" s="1592"/>
      <c r="T98" s="1592"/>
    </row>
    <row r="99" spans="3:20" ht="15.75" x14ac:dyDescent="0.25">
      <c r="C99" s="958" t="s">
        <v>3314</v>
      </c>
      <c r="D99" s="211"/>
      <c r="E99" s="211"/>
      <c r="F99" s="211"/>
      <c r="G99" s="211"/>
      <c r="H99" s="211"/>
      <c r="I99" s="211"/>
      <c r="J99" s="211"/>
      <c r="K99" s="211"/>
      <c r="L99"/>
      <c r="M99"/>
      <c r="P99" s="1593" t="s">
        <v>3960</v>
      </c>
      <c r="Q99" s="1593"/>
      <c r="R99" s="1594" t="s">
        <v>3961</v>
      </c>
      <c r="S99" s="1595"/>
      <c r="T99" s="1595"/>
    </row>
    <row r="100" spans="3:20" x14ac:dyDescent="0.25">
      <c r="C100" s="245" t="s">
        <v>3319</v>
      </c>
      <c r="D100"/>
      <c r="E100"/>
      <c r="F100"/>
      <c r="G100"/>
      <c r="H100"/>
      <c r="I100"/>
      <c r="J100"/>
      <c r="P100" s="1590" t="s">
        <v>2875</v>
      </c>
      <c r="Q100" s="1590"/>
      <c r="R100" s="1591" t="s">
        <v>3962</v>
      </c>
      <c r="S100" s="1592"/>
      <c r="T100" s="1592"/>
    </row>
    <row r="101" spans="3:20" ht="15.75" thickBot="1" x14ac:dyDescent="0.3">
      <c r="C101" s="215"/>
      <c r="D101" s="1276" t="s">
        <v>3284</v>
      </c>
      <c r="E101" s="213"/>
      <c r="F101" s="213" t="s">
        <v>3285</v>
      </c>
      <c r="G101" s="213"/>
      <c r="H101" s="1276" t="s">
        <v>3286</v>
      </c>
      <c r="I101"/>
      <c r="J101"/>
    </row>
    <row r="102" spans="3:20" ht="15.75" thickBot="1" x14ac:dyDescent="0.3">
      <c r="C102" s="215" t="s">
        <v>3287</v>
      </c>
      <c r="D102" s="1270">
        <v>100</v>
      </c>
      <c r="E102" s="213"/>
      <c r="F102" s="1273">
        <v>100</v>
      </c>
      <c r="G102" s="213"/>
      <c r="H102" s="1277">
        <v>100</v>
      </c>
      <c r="I102" s="211"/>
      <c r="J102"/>
    </row>
    <row r="103" spans="3:20" ht="15.75" thickBot="1" x14ac:dyDescent="0.3">
      <c r="C103" s="215"/>
      <c r="D103" s="213"/>
      <c r="E103" s="213"/>
      <c r="F103" s="213"/>
      <c r="G103" s="213"/>
      <c r="H103" s="1278"/>
      <c r="I103" s="211"/>
      <c r="J103"/>
    </row>
    <row r="104" spans="3:20" ht="15.75" thickBot="1" x14ac:dyDescent="0.3">
      <c r="C104" s="215" t="s">
        <v>3288</v>
      </c>
      <c r="D104" s="1270">
        <f>IF(I116=0,D102,D102+I116)</f>
        <v>95</v>
      </c>
      <c r="E104" s="1272" t="str">
        <f>IF(D104&lt;(D102*0.1),"!!!","")</f>
        <v/>
      </c>
      <c r="F104" s="1274">
        <f>IF(I122&gt;0,F102,F102+I122)</f>
        <v>65</v>
      </c>
      <c r="G104" s="1272" t="str">
        <f>IF(F104&lt;(F102*0.2),"!!!","")</f>
        <v/>
      </c>
      <c r="H104" s="1275">
        <f>IF(I128&gt;0,H102,H102+I128)</f>
        <v>100</v>
      </c>
      <c r="I104" s="1272" t="str">
        <f>IF(H104&lt;(H102*0.2),"!!!","")</f>
        <v/>
      </c>
      <c r="J104"/>
    </row>
    <row r="105" spans="3:20" x14ac:dyDescent="0.25">
      <c r="C105" s="215"/>
      <c r="D105" s="215"/>
      <c r="E105" s="215"/>
      <c r="F105" s="1271"/>
      <c r="G105" s="215"/>
      <c r="H105" s="1271"/>
      <c r="I105"/>
      <c r="J105"/>
    </row>
    <row r="106" spans="3:20" x14ac:dyDescent="0.25">
      <c r="C106" s="215" t="s">
        <v>3931</v>
      </c>
      <c r="D106" s="215"/>
      <c r="E106" s="215"/>
      <c r="F106" s="215"/>
      <c r="G106" s="215"/>
      <c r="H106" s="215"/>
      <c r="I106"/>
      <c r="J106"/>
    </row>
    <row r="107" spans="3:20" ht="15.75" thickBot="1" x14ac:dyDescent="0.3">
      <c r="C107" s="215" t="s">
        <v>3289</v>
      </c>
      <c r="D107"/>
      <c r="E107"/>
      <c r="F107" s="1156" t="s">
        <v>3930</v>
      </c>
      <c r="G107"/>
      <c r="H107"/>
      <c r="I107"/>
      <c r="J107"/>
    </row>
    <row r="108" spans="3:20" ht="15.75" thickBot="1" x14ac:dyDescent="0.3">
      <c r="C108" s="1291" t="s">
        <v>3317</v>
      </c>
      <c r="D108" s="1292"/>
      <c r="E108" s="1288" t="s">
        <v>3290</v>
      </c>
      <c r="F108" s="1223" t="s">
        <v>3291</v>
      </c>
      <c r="G108" s="1223" t="s">
        <v>3292</v>
      </c>
      <c r="H108" s="1223" t="s">
        <v>3293</v>
      </c>
      <c r="I108" s="1223" t="s">
        <v>3294</v>
      </c>
      <c r="J108" s="1223" t="s">
        <v>3295</v>
      </c>
      <c r="K108" s="1436" t="s">
        <v>3968</v>
      </c>
      <c r="L108" s="1436" t="s">
        <v>3969</v>
      </c>
      <c r="M108" s="1224" t="s">
        <v>3970</v>
      </c>
    </row>
    <row r="109" spans="3:20" x14ac:dyDescent="0.25">
      <c r="C109" s="1225"/>
      <c r="D109" s="1268" t="s">
        <v>3296</v>
      </c>
      <c r="E109" s="1267">
        <f>SUM(F109:M109)</f>
        <v>100</v>
      </c>
      <c r="F109" s="1266">
        <v>75</v>
      </c>
      <c r="G109" s="1226">
        <v>25</v>
      </c>
      <c r="H109" s="1226"/>
      <c r="I109" s="1226"/>
      <c r="J109" s="1433"/>
      <c r="K109" s="1226"/>
      <c r="L109" s="1226"/>
      <c r="M109" s="1434"/>
    </row>
    <row r="110" spans="3:20" ht="15.75" thickBot="1" x14ac:dyDescent="0.3">
      <c r="C110" s="1228"/>
      <c r="D110" s="1269" t="s">
        <v>3297</v>
      </c>
      <c r="E110" s="1435">
        <f>SUM(F110:M110)</f>
        <v>0</v>
      </c>
      <c r="F110" s="1226"/>
      <c r="G110" s="1226"/>
      <c r="H110" s="1226"/>
      <c r="I110" s="1226"/>
      <c r="J110" s="1433"/>
      <c r="K110" s="1226"/>
      <c r="L110" s="1226"/>
      <c r="M110" s="1434"/>
    </row>
    <row r="111" spans="3:20" x14ac:dyDescent="0.25">
      <c r="C111" s="1229"/>
      <c r="D111" s="1219"/>
      <c r="E111" s="1219"/>
      <c r="F111" s="1219"/>
      <c r="G111" s="1432"/>
      <c r="H111" s="1432"/>
      <c r="I111" s="1432"/>
      <c r="J111" s="1432"/>
      <c r="K111" s="1219" t="s">
        <v>3971</v>
      </c>
      <c r="L111" s="1432"/>
      <c r="M111" s="1230"/>
    </row>
    <row r="112" spans="3:20" ht="15.75" thickBot="1" x14ac:dyDescent="0.3">
      <c r="C112" s="1229" t="s">
        <v>3298</v>
      </c>
      <c r="D112" s="1229"/>
      <c r="E112" s="1229"/>
      <c r="F112" s="1219"/>
      <c r="G112" s="1219" t="s">
        <v>3299</v>
      </c>
      <c r="H112" s="1229"/>
      <c r="I112" s="1229"/>
      <c r="J112" s="1219">
        <f>IF($I$115+$I$114&gt;1,0,$I$115+$I$114)</f>
        <v>-5</v>
      </c>
      <c r="K112" s="1219">
        <f>IF(J112&gt;0,0,(I114+I115)-(I114+I115)*2)</f>
        <v>5</v>
      </c>
      <c r="L112" s="1219"/>
      <c r="M112" s="1231"/>
    </row>
    <row r="113" spans="3:16" ht="15.75" thickBot="1" x14ac:dyDescent="0.3">
      <c r="C113" s="1232"/>
      <c r="D113" s="1437" t="s">
        <v>3315</v>
      </c>
      <c r="E113" s="1185">
        <v>50</v>
      </c>
      <c r="F113" s="1219"/>
      <c r="G113" s="1432"/>
      <c r="H113" s="1264" t="s">
        <v>3315</v>
      </c>
      <c r="I113" s="1259">
        <f>IF(AND(E113&gt;0,E109+E110&gt;0),E113-(E109+E110),E113)</f>
        <v>-50</v>
      </c>
      <c r="J113" s="1219">
        <f>IF(K112&gt;0,1,0)</f>
        <v>1</v>
      </c>
      <c r="K113" s="1219">
        <f>IF(J113=1,(-I114-K112),0)</f>
        <v>20</v>
      </c>
      <c r="L113" s="1219"/>
      <c r="M113" s="1231"/>
      <c r="P113" s="314" t="s">
        <v>3972</v>
      </c>
    </row>
    <row r="114" spans="3:16" ht="15.75" thickBot="1" x14ac:dyDescent="0.3">
      <c r="C114" s="1232"/>
      <c r="D114" s="1437" t="s">
        <v>3300</v>
      </c>
      <c r="E114" s="1185">
        <v>25</v>
      </c>
      <c r="F114" s="1219"/>
      <c r="G114" s="1432"/>
      <c r="H114" s="1264" t="s">
        <v>3300</v>
      </c>
      <c r="I114" s="1259">
        <f>IF(I113&gt;0,E114,E114+I113)</f>
        <v>-25</v>
      </c>
      <c r="J114" s="1219">
        <f>IF(K113&gt;0,2,0)</f>
        <v>2</v>
      </c>
      <c r="K114" s="1219">
        <f>IF(J114=2,(-I114-(K112+K113)),0)</f>
        <v>0</v>
      </c>
      <c r="L114" s="1219"/>
      <c r="M114" s="1231"/>
    </row>
    <row r="115" spans="3:16" ht="15.75" thickBot="1" x14ac:dyDescent="0.3">
      <c r="C115" s="1233"/>
      <c r="D115" s="1438" t="s">
        <v>3316</v>
      </c>
      <c r="E115" s="1185">
        <v>20</v>
      </c>
      <c r="F115" s="1219"/>
      <c r="G115" s="1439"/>
      <c r="H115" s="1265" t="s">
        <v>3316</v>
      </c>
      <c r="I115" s="1259">
        <f>E115</f>
        <v>20</v>
      </c>
      <c r="J115" s="1219">
        <f>IF(K114&gt;0,3,0)</f>
        <v>0</v>
      </c>
      <c r="K115" s="1219"/>
      <c r="L115" s="1219"/>
      <c r="M115" s="1231"/>
    </row>
    <row r="116" spans="3:16" ht="15.75" thickBot="1" x14ac:dyDescent="0.3">
      <c r="C116" s="1234"/>
      <c r="D116" s="1431" t="s">
        <v>3967</v>
      </c>
      <c r="E116" s="1236" t="str">
        <f>SUM(E113:E115)&amp;")"</f>
        <v>95)</v>
      </c>
      <c r="F116" s="1235"/>
      <c r="G116" s="1237"/>
      <c r="H116" s="1430" t="s">
        <v>3966</v>
      </c>
      <c r="I116" s="1440">
        <f>IF(I114&gt;0,0,IF(E115+I114&gt;1,0,(I114+I115)))</f>
        <v>-5</v>
      </c>
      <c r="J116" s="1235">
        <f>IF(K115&gt;0,4,0)</f>
        <v>0</v>
      </c>
      <c r="K116" s="1237"/>
      <c r="L116" s="1237"/>
      <c r="M116" s="1238"/>
    </row>
    <row r="117" spans="3:16" ht="15.75" thickBot="1" x14ac:dyDescent="0.3">
      <c r="C117"/>
      <c r="D117"/>
      <c r="E117"/>
      <c r="F117"/>
      <c r="G117"/>
      <c r="H117"/>
      <c r="I117"/>
      <c r="J117"/>
    </row>
    <row r="118" spans="3:16" ht="15.75" thickBot="1" x14ac:dyDescent="0.3">
      <c r="C118" s="1289" t="s">
        <v>3301</v>
      </c>
      <c r="D118" s="1290"/>
      <c r="E118" s="1295" t="s">
        <v>3290</v>
      </c>
      <c r="F118" s="1239" t="s">
        <v>3291</v>
      </c>
      <c r="G118" s="1239" t="s">
        <v>3292</v>
      </c>
      <c r="H118" s="1239" t="s">
        <v>3293</v>
      </c>
      <c r="I118" s="1239" t="s">
        <v>3294</v>
      </c>
      <c r="J118" s="1240" t="s">
        <v>3295</v>
      </c>
      <c r="K118" s="1240" t="s">
        <v>3968</v>
      </c>
      <c r="L118" s="1240" t="s">
        <v>3969</v>
      </c>
      <c r="M118" s="1240" t="s">
        <v>3970</v>
      </c>
    </row>
    <row r="119" spans="3:16" ht="15.75" thickBot="1" x14ac:dyDescent="0.3">
      <c r="C119" s="1241"/>
      <c r="D119" s="1450" t="s">
        <v>3296</v>
      </c>
      <c r="E119" s="1261">
        <f>SUM(F119:M119)</f>
        <v>65</v>
      </c>
      <c r="F119" s="1262">
        <v>10</v>
      </c>
      <c r="G119" s="1226">
        <v>35</v>
      </c>
      <c r="H119" s="1226">
        <v>20</v>
      </c>
      <c r="I119" s="1226"/>
      <c r="J119" s="1433"/>
      <c r="K119" s="1226"/>
      <c r="L119" s="1434"/>
      <c r="M119" s="1227"/>
    </row>
    <row r="120" spans="3:16" x14ac:dyDescent="0.25">
      <c r="C120" s="1242"/>
      <c r="D120" s="138"/>
      <c r="E120" s="1263"/>
      <c r="F120" s="138"/>
      <c r="G120" s="138"/>
      <c r="H120" s="138"/>
      <c r="I120" s="1243"/>
      <c r="J120" s="1243"/>
      <c r="K120" s="1442"/>
      <c r="L120" s="1442"/>
      <c r="M120" s="1451"/>
    </row>
    <row r="121" spans="3:16" ht="15.75" thickBot="1" x14ac:dyDescent="0.3">
      <c r="C121" s="1242" t="s">
        <v>3298</v>
      </c>
      <c r="D121" s="1242"/>
      <c r="E121" s="1242"/>
      <c r="F121" s="138"/>
      <c r="G121" s="138" t="s">
        <v>3299</v>
      </c>
      <c r="H121" s="1242"/>
      <c r="I121" s="1242"/>
      <c r="J121" s="1243"/>
      <c r="K121" s="1442"/>
      <c r="L121" s="1442"/>
      <c r="M121" s="1451"/>
    </row>
    <row r="122" spans="3:16" ht="15.75" thickBot="1" x14ac:dyDescent="0.3">
      <c r="C122" s="1244"/>
      <c r="D122" s="1245" t="s">
        <v>3302</v>
      </c>
      <c r="E122" s="1246">
        <v>30</v>
      </c>
      <c r="F122" s="1247"/>
      <c r="G122" s="1248"/>
      <c r="H122" s="1245" t="s">
        <v>3302</v>
      </c>
      <c r="I122" s="1452">
        <f>IF(E119&gt;0,E122-E119,E122)</f>
        <v>-35</v>
      </c>
      <c r="J122" s="1441"/>
      <c r="K122" s="1453"/>
      <c r="L122" s="1453"/>
      <c r="M122" s="1454"/>
    </row>
    <row r="123" spans="3:16" ht="15.75" thickBot="1" x14ac:dyDescent="0.3">
      <c r="C123"/>
      <c r="D123"/>
      <c r="E123"/>
      <c r="F123"/>
      <c r="G123"/>
      <c r="H123"/>
      <c r="I123" s="1449"/>
      <c r="J123"/>
    </row>
    <row r="124" spans="3:16" ht="15.75" thickBot="1" x14ac:dyDescent="0.3">
      <c r="C124" s="1293" t="s">
        <v>3318</v>
      </c>
      <c r="D124" s="1249"/>
      <c r="E124" s="1294" t="s">
        <v>3290</v>
      </c>
      <c r="F124" s="1250" t="s">
        <v>3291</v>
      </c>
      <c r="G124" s="1250" t="s">
        <v>3292</v>
      </c>
      <c r="H124" s="1250" t="s">
        <v>3293</v>
      </c>
      <c r="I124" s="1250" t="s">
        <v>3294</v>
      </c>
      <c r="J124" s="1251" t="s">
        <v>3295</v>
      </c>
      <c r="K124" s="1251" t="s">
        <v>3968</v>
      </c>
      <c r="L124" s="1251" t="s">
        <v>3969</v>
      </c>
      <c r="M124" s="1251" t="s">
        <v>3970</v>
      </c>
    </row>
    <row r="125" spans="3:16" ht="15.75" thickBot="1" x14ac:dyDescent="0.3">
      <c r="C125" s="1252"/>
      <c r="D125" s="1446" t="s">
        <v>3296</v>
      </c>
      <c r="E125" s="1261">
        <f>SUM(F125:M125)</f>
        <v>0</v>
      </c>
      <c r="F125" s="1262"/>
      <c r="G125" s="1226"/>
      <c r="H125" s="1226"/>
      <c r="I125" s="1226"/>
      <c r="J125" s="1433"/>
      <c r="K125" s="1226"/>
      <c r="L125" s="1434"/>
      <c r="M125" s="1227"/>
    </row>
    <row r="126" spans="3:16" x14ac:dyDescent="0.25">
      <c r="C126" s="1253"/>
      <c r="D126" s="1447"/>
      <c r="E126" s="1260"/>
      <c r="F126" s="1447"/>
      <c r="G126" s="1447"/>
      <c r="H126" s="1447"/>
      <c r="I126" s="1443"/>
      <c r="J126" s="1443"/>
      <c r="K126" s="1443"/>
      <c r="L126" s="1443"/>
      <c r="M126" s="1254"/>
    </row>
    <row r="127" spans="3:16" ht="15.75" thickBot="1" x14ac:dyDescent="0.3">
      <c r="C127" s="1253" t="s">
        <v>3298</v>
      </c>
      <c r="D127" s="1447"/>
      <c r="E127" s="1447"/>
      <c r="F127" s="1447"/>
      <c r="G127" s="1447" t="s">
        <v>3299</v>
      </c>
      <c r="H127" s="1447"/>
      <c r="I127" s="1447"/>
      <c r="J127" s="1443"/>
      <c r="K127" s="1443"/>
      <c r="L127" s="1443"/>
      <c r="M127" s="1254"/>
    </row>
    <row r="128" spans="3:16" ht="15.75" thickBot="1" x14ac:dyDescent="0.3">
      <c r="C128" s="1255"/>
      <c r="D128" s="1256" t="s">
        <v>3303</v>
      </c>
      <c r="E128" s="1246">
        <v>0</v>
      </c>
      <c r="F128" s="1257"/>
      <c r="G128" s="1258"/>
      <c r="H128" s="1256" t="s">
        <v>3303</v>
      </c>
      <c r="I128" s="1440">
        <f>IF(E125&gt;0,E128-E125,E128)</f>
        <v>0</v>
      </c>
      <c r="J128" s="1444"/>
      <c r="K128" s="1445"/>
      <c r="L128" s="1445"/>
      <c r="M128" s="1448"/>
    </row>
    <row r="129" spans="3:10" x14ac:dyDescent="0.25">
      <c r="C129"/>
      <c r="D129"/>
      <c r="E129"/>
      <c r="F129"/>
      <c r="G129"/>
      <c r="H129"/>
      <c r="I129"/>
      <c r="J129"/>
    </row>
    <row r="130" spans="3:10" x14ac:dyDescent="0.25">
      <c r="C130"/>
      <c r="D130"/>
      <c r="E130"/>
      <c r="F130"/>
      <c r="G130"/>
      <c r="H130"/>
      <c r="I130"/>
      <c r="J130"/>
    </row>
    <row r="131" spans="3:10" x14ac:dyDescent="0.25">
      <c r="C131"/>
      <c r="D131"/>
      <c r="E131"/>
      <c r="F131"/>
      <c r="G131"/>
      <c r="H131"/>
      <c r="I131"/>
      <c r="J131"/>
    </row>
    <row r="132" spans="3:10" x14ac:dyDescent="0.25">
      <c r="C132" s="245" t="s">
        <v>3304</v>
      </c>
      <c r="D132" s="1156"/>
      <c r="E132" s="1156"/>
      <c r="F132"/>
      <c r="G132"/>
      <c r="H132"/>
      <c r="I132"/>
      <c r="J132"/>
    </row>
    <row r="133" spans="3:10" x14ac:dyDescent="0.25">
      <c r="C133" s="245" t="s">
        <v>3305</v>
      </c>
      <c r="D133" s="1156"/>
      <c r="E133" s="1156"/>
      <c r="F133"/>
      <c r="G133"/>
      <c r="H133"/>
      <c r="I133"/>
      <c r="J133"/>
    </row>
    <row r="134" spans="3:10" x14ac:dyDescent="0.25">
      <c r="C134" s="1156"/>
      <c r="D134" s="245" t="s">
        <v>3306</v>
      </c>
      <c r="E134" s="1156"/>
      <c r="F134"/>
      <c r="G134"/>
      <c r="H134"/>
      <c r="I134"/>
      <c r="J134"/>
    </row>
    <row r="135" spans="3:10" x14ac:dyDescent="0.25">
      <c r="C135" s="1156"/>
      <c r="D135" s="245" t="s">
        <v>3307</v>
      </c>
      <c r="E135" s="1156"/>
      <c r="F135"/>
      <c r="G135"/>
      <c r="H135"/>
      <c r="I135"/>
      <c r="J135"/>
    </row>
    <row r="136" spans="3:10" x14ac:dyDescent="0.25">
      <c r="C136" s="1156"/>
      <c r="D136" s="245" t="s">
        <v>3308</v>
      </c>
      <c r="E136" s="1156"/>
      <c r="F136"/>
      <c r="G136"/>
      <c r="H136"/>
      <c r="I136"/>
      <c r="J136"/>
    </row>
    <row r="137" spans="3:10" x14ac:dyDescent="0.25">
      <c r="C137" s="1156"/>
      <c r="D137" s="245" t="s">
        <v>3309</v>
      </c>
      <c r="E137" s="1156"/>
      <c r="F137"/>
      <c r="G137"/>
      <c r="H137"/>
      <c r="I137"/>
      <c r="J137"/>
    </row>
    <row r="138" spans="3:10" x14ac:dyDescent="0.25">
      <c r="C138" s="1156"/>
      <c r="D138" s="245" t="s">
        <v>3310</v>
      </c>
      <c r="E138" s="1156"/>
      <c r="F138"/>
      <c r="G138"/>
      <c r="H138"/>
      <c r="I138"/>
      <c r="J138"/>
    </row>
    <row r="139" spans="3:10" x14ac:dyDescent="0.25">
      <c r="C139" s="1156"/>
      <c r="D139" s="245" t="s">
        <v>3311</v>
      </c>
      <c r="E139" s="1156"/>
      <c r="F139"/>
      <c r="G139"/>
      <c r="H139"/>
      <c r="I139"/>
      <c r="J139"/>
    </row>
    <row r="140" spans="3:10" x14ac:dyDescent="0.25">
      <c r="C140" s="245" t="s">
        <v>3312</v>
      </c>
      <c r="D140" s="1156"/>
      <c r="E140" s="1156"/>
      <c r="F140"/>
      <c r="G140"/>
      <c r="H140"/>
      <c r="I140"/>
      <c r="J140"/>
    </row>
    <row r="141" spans="3:10" x14ac:dyDescent="0.25">
      <c r="C141" s="1156"/>
      <c r="D141" s="245" t="s">
        <v>3306</v>
      </c>
      <c r="E141" s="1156"/>
      <c r="F141"/>
      <c r="G141"/>
      <c r="H141"/>
      <c r="I141"/>
      <c r="J141"/>
    </row>
    <row r="142" spans="3:10" x14ac:dyDescent="0.25">
      <c r="C142" s="1156"/>
      <c r="D142" s="245" t="s">
        <v>3313</v>
      </c>
      <c r="E142" s="1156"/>
      <c r="F142"/>
      <c r="G142"/>
      <c r="H142"/>
      <c r="I142"/>
      <c r="J142"/>
    </row>
    <row r="143" spans="3:10" x14ac:dyDescent="0.25">
      <c r="C143" s="1156"/>
      <c r="D143" s="245" t="s">
        <v>3308</v>
      </c>
      <c r="E143" s="1156"/>
      <c r="F143"/>
      <c r="G143"/>
      <c r="H143"/>
      <c r="I143"/>
      <c r="J143"/>
    </row>
    <row r="144" spans="3:10" x14ac:dyDescent="0.25">
      <c r="C144" s="1156"/>
      <c r="D144" s="245" t="s">
        <v>3309</v>
      </c>
      <c r="E144" s="1156"/>
      <c r="F144"/>
      <c r="G144"/>
      <c r="H144"/>
      <c r="I144"/>
      <c r="J144"/>
    </row>
    <row r="145" spans="3:10" x14ac:dyDescent="0.25">
      <c r="C145" s="1156"/>
      <c r="D145" s="245" t="s">
        <v>3310</v>
      </c>
      <c r="E145" s="1156"/>
      <c r="F145"/>
      <c r="G145"/>
      <c r="H145"/>
      <c r="I145"/>
      <c r="J145"/>
    </row>
    <row r="146" spans="3:10" x14ac:dyDescent="0.25">
      <c r="C146" s="1156"/>
      <c r="D146" s="245" t="s">
        <v>3311</v>
      </c>
      <c r="E146" s="1156"/>
      <c r="F146"/>
      <c r="G146"/>
      <c r="H146"/>
      <c r="I146"/>
      <c r="J146"/>
    </row>
    <row r="147" spans="3:10" x14ac:dyDescent="0.25">
      <c r="C147"/>
      <c r="D147"/>
      <c r="E147"/>
      <c r="F147"/>
      <c r="G147"/>
      <c r="H147"/>
      <c r="I147"/>
      <c r="J147"/>
    </row>
  </sheetData>
  <mergeCells count="39">
    <mergeCell ref="P100:Q100"/>
    <mergeCell ref="R100:T100"/>
    <mergeCell ref="P97:Q97"/>
    <mergeCell ref="R97:T97"/>
    <mergeCell ref="P98:Q98"/>
    <mergeCell ref="R98:T98"/>
    <mergeCell ref="P99:Q99"/>
    <mergeCell ref="R99:T99"/>
    <mergeCell ref="P94:Q94"/>
    <mergeCell ref="R94:T94"/>
    <mergeCell ref="P95:Q95"/>
    <mergeCell ref="R95:T95"/>
    <mergeCell ref="P96:Q96"/>
    <mergeCell ref="R96:T96"/>
    <mergeCell ref="P91:Q91"/>
    <mergeCell ref="R91:T91"/>
    <mergeCell ref="P92:Q92"/>
    <mergeCell ref="R92:T92"/>
    <mergeCell ref="P93:Q93"/>
    <mergeCell ref="R93:T93"/>
    <mergeCell ref="P88:Q88"/>
    <mergeCell ref="R88:T88"/>
    <mergeCell ref="P89:Q89"/>
    <mergeCell ref="R89:T89"/>
    <mergeCell ref="P90:Q90"/>
    <mergeCell ref="R90:T90"/>
    <mergeCell ref="C88:D88"/>
    <mergeCell ref="C89:D89"/>
    <mergeCell ref="C90:D90"/>
    <mergeCell ref="C91:D91"/>
    <mergeCell ref="C92:D92"/>
    <mergeCell ref="C80:L81"/>
    <mergeCell ref="T48:T50"/>
    <mergeCell ref="T51:T53"/>
    <mergeCell ref="T54:T56"/>
    <mergeCell ref="P4:T6"/>
    <mergeCell ref="P15:T17"/>
    <mergeCell ref="P26:T28"/>
    <mergeCell ref="P32:T35"/>
  </mergeCells>
  <phoneticPr fontId="1"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26CE5-9C80-4494-9D9F-EDE3AC246CCA}">
  <sheetPr>
    <tabColor rgb="FFE2CFF1"/>
  </sheetPr>
  <dimension ref="A1:AF55"/>
  <sheetViews>
    <sheetView zoomScale="85" zoomScaleNormal="85" workbookViewId="0">
      <selection activeCell="AD19" sqref="AD19"/>
    </sheetView>
  </sheetViews>
  <sheetFormatPr defaultRowHeight="12.75" x14ac:dyDescent="0.2"/>
  <cols>
    <col min="1" max="1" width="2.625" customWidth="1"/>
    <col min="11" max="12" width="2.625" customWidth="1"/>
    <col min="22" max="23" width="2.625" customWidth="1"/>
    <col min="32" max="32" width="2.625" customWidth="1"/>
  </cols>
  <sheetData>
    <row r="1" spans="1:31" x14ac:dyDescent="0.2">
      <c r="A1" s="783"/>
      <c r="B1" s="784"/>
      <c r="C1" s="784"/>
      <c r="D1" s="784"/>
      <c r="E1" s="784"/>
      <c r="F1" s="784"/>
      <c r="G1" s="784"/>
      <c r="H1" s="784"/>
      <c r="I1" s="784"/>
      <c r="J1" s="784"/>
      <c r="K1" s="785"/>
      <c r="L1" s="783"/>
      <c r="M1" s="784"/>
      <c r="N1" s="784"/>
      <c r="O1" s="784"/>
      <c r="P1" s="784"/>
      <c r="Q1" s="784"/>
      <c r="R1" s="784"/>
      <c r="S1" s="784"/>
      <c r="T1" s="784"/>
      <c r="U1" s="784"/>
      <c r="V1" s="785"/>
    </row>
    <row r="2" spans="1:31" x14ac:dyDescent="0.2">
      <c r="A2" s="786"/>
      <c r="B2" s="437"/>
      <c r="C2" s="437"/>
      <c r="D2" s="437"/>
      <c r="E2" s="437"/>
      <c r="F2" s="437"/>
      <c r="G2" s="437"/>
      <c r="H2" s="437"/>
      <c r="I2" s="437"/>
      <c r="J2" s="437"/>
      <c r="K2" s="787"/>
      <c r="L2" s="786"/>
      <c r="M2" s="437"/>
      <c r="N2" s="437"/>
      <c r="O2" s="437"/>
      <c r="P2" s="437"/>
      <c r="Q2" s="437"/>
      <c r="R2" s="437"/>
      <c r="S2" s="437"/>
      <c r="T2" s="437"/>
      <c r="U2" s="437"/>
      <c r="V2" s="787"/>
      <c r="X2" s="869" t="s">
        <v>2953</v>
      </c>
      <c r="Y2" s="338"/>
      <c r="Z2" s="338"/>
      <c r="AA2" s="338"/>
      <c r="AB2" s="338"/>
      <c r="AC2" s="338"/>
      <c r="AD2" s="338"/>
      <c r="AE2" s="338"/>
    </row>
    <row r="3" spans="1:31" x14ac:dyDescent="0.2">
      <c r="A3" s="786"/>
      <c r="B3" s="437"/>
      <c r="C3" s="437"/>
      <c r="D3" s="437"/>
      <c r="E3" s="437"/>
      <c r="F3" s="437"/>
      <c r="G3" s="437"/>
      <c r="H3" s="437"/>
      <c r="I3" s="437"/>
      <c r="J3" s="437"/>
      <c r="K3" s="787"/>
      <c r="L3" s="786"/>
      <c r="M3" s="437"/>
      <c r="N3" s="437"/>
      <c r="O3" s="437"/>
      <c r="P3" s="437"/>
      <c r="Q3" s="437"/>
      <c r="R3" s="437"/>
      <c r="S3" s="437"/>
      <c r="T3" s="437"/>
      <c r="U3" s="437"/>
      <c r="V3" s="787"/>
      <c r="X3" s="870" t="s">
        <v>2566</v>
      </c>
      <c r="Y3" s="871"/>
      <c r="Z3" s="871"/>
      <c r="AA3" s="871"/>
      <c r="AB3" s="871"/>
      <c r="AC3" s="871"/>
      <c r="AD3" s="871"/>
      <c r="AE3" s="872"/>
    </row>
    <row r="4" spans="1:31" x14ac:dyDescent="0.2">
      <c r="A4" s="786"/>
      <c r="B4" s="437"/>
      <c r="C4" s="437"/>
      <c r="D4" s="437"/>
      <c r="E4" s="437"/>
      <c r="F4" s="437"/>
      <c r="G4" s="437"/>
      <c r="H4" s="437"/>
      <c r="I4" s="437"/>
      <c r="J4" s="437"/>
      <c r="K4" s="787"/>
      <c r="L4" s="786"/>
      <c r="M4" s="437"/>
      <c r="N4" s="437"/>
      <c r="O4" s="437"/>
      <c r="P4" s="437"/>
      <c r="Q4" s="437"/>
      <c r="R4" s="437"/>
      <c r="S4" s="437"/>
      <c r="T4" s="437"/>
      <c r="U4" s="437"/>
      <c r="V4" s="787"/>
      <c r="X4" s="873" t="s">
        <v>2567</v>
      </c>
      <c r="Y4" s="874"/>
      <c r="Z4" s="874"/>
      <c r="AA4" s="874"/>
      <c r="AB4" s="874"/>
      <c r="AC4" s="874"/>
      <c r="AD4" s="874"/>
      <c r="AE4" s="875"/>
    </row>
    <row r="5" spans="1:31" x14ac:dyDescent="0.2">
      <c r="A5" s="786"/>
      <c r="B5" s="437"/>
      <c r="C5" s="437"/>
      <c r="D5" s="437"/>
      <c r="E5" s="437"/>
      <c r="F5" s="437"/>
      <c r="G5" s="437"/>
      <c r="H5" s="437"/>
      <c r="I5" s="437"/>
      <c r="J5" s="437"/>
      <c r="K5" s="787"/>
      <c r="L5" s="786"/>
      <c r="M5" s="437"/>
      <c r="N5" s="437"/>
      <c r="O5" s="437"/>
      <c r="P5" s="437"/>
      <c r="Q5" s="437"/>
      <c r="R5" s="437"/>
      <c r="S5" s="437"/>
      <c r="T5" s="437"/>
      <c r="U5" s="437"/>
      <c r="V5" s="787"/>
      <c r="X5" s="873"/>
      <c r="Y5" s="874"/>
      <c r="Z5" s="874"/>
      <c r="AA5" s="874"/>
      <c r="AB5" s="874"/>
      <c r="AC5" s="874"/>
      <c r="AD5" s="874"/>
      <c r="AE5" s="875"/>
    </row>
    <row r="6" spans="1:31" x14ac:dyDescent="0.2">
      <c r="A6" s="786"/>
      <c r="B6" s="437"/>
      <c r="C6" s="437"/>
      <c r="D6" s="437"/>
      <c r="E6" s="437"/>
      <c r="F6" s="437"/>
      <c r="G6" s="437"/>
      <c r="H6" s="437"/>
      <c r="I6" s="437"/>
      <c r="J6" s="437"/>
      <c r="K6" s="787"/>
      <c r="L6" s="786"/>
      <c r="M6" s="437"/>
      <c r="N6" s="437"/>
      <c r="O6" s="437"/>
      <c r="P6" s="437"/>
      <c r="Q6" s="437"/>
      <c r="R6" s="437"/>
      <c r="S6" s="437"/>
      <c r="T6" s="437"/>
      <c r="U6" s="437"/>
      <c r="V6" s="787"/>
      <c r="X6" s="876" t="s">
        <v>2568</v>
      </c>
      <c r="Y6" s="874"/>
      <c r="Z6" s="874"/>
      <c r="AA6" s="874"/>
      <c r="AB6" s="874"/>
      <c r="AC6" s="874"/>
      <c r="AD6" s="874"/>
      <c r="AE6" s="875"/>
    </row>
    <row r="7" spans="1:31" x14ac:dyDescent="0.2">
      <c r="A7" s="786"/>
      <c r="B7" s="437"/>
      <c r="C7" s="437"/>
      <c r="D7" s="437"/>
      <c r="E7" s="437"/>
      <c r="F7" s="437"/>
      <c r="G7" s="437"/>
      <c r="H7" s="437"/>
      <c r="I7" s="437"/>
      <c r="J7" s="437"/>
      <c r="K7" s="787"/>
      <c r="L7" s="786"/>
      <c r="M7" s="437"/>
      <c r="N7" s="437"/>
      <c r="O7" s="437"/>
      <c r="P7" s="437"/>
      <c r="Q7" s="437"/>
      <c r="R7" s="437"/>
      <c r="S7" s="437"/>
      <c r="T7" s="437"/>
      <c r="U7" s="437"/>
      <c r="V7" s="787"/>
      <c r="X7" s="873" t="s">
        <v>2569</v>
      </c>
      <c r="Y7" s="874"/>
      <c r="Z7" s="874"/>
      <c r="AA7" s="874"/>
      <c r="AB7" s="874"/>
      <c r="AC7" s="874"/>
      <c r="AD7" s="874"/>
      <c r="AE7" s="875"/>
    </row>
    <row r="8" spans="1:31" x14ac:dyDescent="0.2">
      <c r="A8" s="786"/>
      <c r="B8" s="437"/>
      <c r="C8" s="437"/>
      <c r="D8" s="437"/>
      <c r="E8" s="437"/>
      <c r="F8" s="437"/>
      <c r="G8" s="437"/>
      <c r="H8" s="437"/>
      <c r="I8" s="437"/>
      <c r="J8" s="437"/>
      <c r="K8" s="787"/>
      <c r="L8" s="786"/>
      <c r="M8" s="437"/>
      <c r="N8" s="437"/>
      <c r="O8" s="437"/>
      <c r="P8" s="437"/>
      <c r="Q8" s="437"/>
      <c r="R8" s="437"/>
      <c r="S8" s="437"/>
      <c r="T8" s="437"/>
      <c r="U8" s="437"/>
      <c r="V8" s="787"/>
      <c r="X8" s="873"/>
      <c r="Y8" s="874"/>
      <c r="Z8" s="874"/>
      <c r="AA8" s="874"/>
      <c r="AB8" s="874"/>
      <c r="AC8" s="874"/>
      <c r="AD8" s="874"/>
      <c r="AE8" s="875"/>
    </row>
    <row r="9" spans="1:31" x14ac:dyDescent="0.2">
      <c r="A9" s="786"/>
      <c r="B9" s="437"/>
      <c r="C9" s="437"/>
      <c r="D9" s="437"/>
      <c r="E9" s="437"/>
      <c r="F9" s="437"/>
      <c r="G9" s="437"/>
      <c r="H9" s="437"/>
      <c r="I9" s="437"/>
      <c r="J9" s="437"/>
      <c r="K9" s="787"/>
      <c r="L9" s="786"/>
      <c r="M9" s="437"/>
      <c r="N9" s="437"/>
      <c r="O9" s="437"/>
      <c r="P9" s="437"/>
      <c r="Q9" s="437"/>
      <c r="R9" s="437"/>
      <c r="S9" s="437"/>
      <c r="T9" s="437"/>
      <c r="U9" s="437"/>
      <c r="V9" s="787"/>
      <c r="X9" s="1596" t="s">
        <v>2962</v>
      </c>
      <c r="Y9" s="1565"/>
      <c r="Z9" s="1565"/>
      <c r="AA9" s="1565"/>
      <c r="AB9" s="1565"/>
      <c r="AC9" s="1565"/>
      <c r="AD9" s="1565"/>
      <c r="AE9" s="1597"/>
    </row>
    <row r="10" spans="1:31" x14ac:dyDescent="0.2">
      <c r="A10" s="786"/>
      <c r="B10" s="437"/>
      <c r="C10" s="437"/>
      <c r="D10" s="437"/>
      <c r="E10" s="437"/>
      <c r="F10" s="437"/>
      <c r="G10" s="437"/>
      <c r="H10" s="437"/>
      <c r="I10" s="437"/>
      <c r="J10" s="437"/>
      <c r="K10" s="787"/>
      <c r="L10" s="786"/>
      <c r="M10" s="437"/>
      <c r="N10" s="437"/>
      <c r="O10" s="437"/>
      <c r="P10" s="437"/>
      <c r="Q10" s="437"/>
      <c r="R10" s="437"/>
      <c r="S10" s="437"/>
      <c r="T10" s="437"/>
      <c r="U10" s="437"/>
      <c r="V10" s="787"/>
      <c r="X10" s="1598"/>
      <c r="Y10" s="1565"/>
      <c r="Z10" s="1565"/>
      <c r="AA10" s="1565"/>
      <c r="AB10" s="1565"/>
      <c r="AC10" s="1565"/>
      <c r="AD10" s="1565"/>
      <c r="AE10" s="1597"/>
    </row>
    <row r="11" spans="1:31" x14ac:dyDescent="0.2">
      <c r="A11" s="786"/>
      <c r="B11" s="437"/>
      <c r="C11" s="437"/>
      <c r="D11" s="437"/>
      <c r="E11" s="437"/>
      <c r="F11" s="437"/>
      <c r="G11" s="437"/>
      <c r="H11" s="437"/>
      <c r="I11" s="437"/>
      <c r="J11" s="437"/>
      <c r="K11" s="787"/>
      <c r="L11" s="786"/>
      <c r="M11" s="437"/>
      <c r="N11" s="437"/>
      <c r="O11" s="437"/>
      <c r="P11" s="437"/>
      <c r="Q11" s="437"/>
      <c r="R11" s="437"/>
      <c r="S11" s="437"/>
      <c r="T11" s="437"/>
      <c r="U11" s="437"/>
      <c r="V11" s="787"/>
      <c r="X11" s="1598"/>
      <c r="Y11" s="1565"/>
      <c r="Z11" s="1565"/>
      <c r="AA11" s="1565"/>
      <c r="AB11" s="1565"/>
      <c r="AC11" s="1565"/>
      <c r="AD11" s="1565"/>
      <c r="AE11" s="1597"/>
    </row>
    <row r="12" spans="1:31" x14ac:dyDescent="0.2">
      <c r="A12" s="786"/>
      <c r="B12" s="437"/>
      <c r="C12" s="437"/>
      <c r="D12" s="437"/>
      <c r="E12" s="437"/>
      <c r="F12" s="437"/>
      <c r="G12" s="437"/>
      <c r="H12" s="437"/>
      <c r="I12" s="437"/>
      <c r="J12" s="437"/>
      <c r="K12" s="787"/>
      <c r="L12" s="786"/>
      <c r="M12" s="437"/>
      <c r="N12" s="437"/>
      <c r="O12" s="437"/>
      <c r="P12" s="437"/>
      <c r="Q12" s="437"/>
      <c r="R12" s="437"/>
      <c r="S12" s="437"/>
      <c r="T12" s="437"/>
      <c r="U12" s="437"/>
      <c r="V12" s="787"/>
      <c r="X12" s="877"/>
      <c r="Y12" s="874"/>
      <c r="Z12" s="874"/>
      <c r="AA12" s="874"/>
      <c r="AB12" s="874"/>
      <c r="AC12" s="874"/>
      <c r="AD12" s="874"/>
      <c r="AE12" s="875"/>
    </row>
    <row r="13" spans="1:31" x14ac:dyDescent="0.2">
      <c r="A13" s="786"/>
      <c r="B13" s="437"/>
      <c r="C13" s="437"/>
      <c r="D13" s="437"/>
      <c r="E13" s="437"/>
      <c r="F13" s="437"/>
      <c r="G13" s="437"/>
      <c r="H13" s="437"/>
      <c r="I13" s="437"/>
      <c r="J13" s="437"/>
      <c r="K13" s="787"/>
      <c r="L13" s="786"/>
      <c r="M13" s="437"/>
      <c r="N13" s="437"/>
      <c r="O13" s="437"/>
      <c r="P13" s="437"/>
      <c r="Q13" s="437"/>
      <c r="R13" s="437"/>
      <c r="S13" s="437"/>
      <c r="T13" s="437"/>
      <c r="U13" s="437"/>
      <c r="V13" s="787"/>
      <c r="X13" s="878" t="s">
        <v>2570</v>
      </c>
      <c r="Y13" s="874"/>
      <c r="Z13" s="874"/>
      <c r="AA13" s="874"/>
      <c r="AB13" s="874"/>
      <c r="AC13" s="874"/>
      <c r="AD13" s="874"/>
      <c r="AE13" s="875"/>
    </row>
    <row r="14" spans="1:31" x14ac:dyDescent="0.2">
      <c r="A14" s="786"/>
      <c r="B14" s="437"/>
      <c r="C14" s="437"/>
      <c r="D14" s="437"/>
      <c r="E14" s="437"/>
      <c r="F14" s="437"/>
      <c r="G14" s="437"/>
      <c r="H14" s="437"/>
      <c r="I14" s="437"/>
      <c r="J14" s="437"/>
      <c r="K14" s="787"/>
      <c r="L14" s="786"/>
      <c r="M14" s="437"/>
      <c r="N14" s="437"/>
      <c r="O14" s="437"/>
      <c r="P14" s="437"/>
      <c r="Q14" s="437"/>
      <c r="R14" s="437"/>
      <c r="S14" s="437"/>
      <c r="T14" s="437"/>
      <c r="U14" s="437"/>
      <c r="V14" s="787"/>
      <c r="X14" s="879" t="s">
        <v>2963</v>
      </c>
      <c r="Y14" s="880"/>
      <c r="Z14" s="880"/>
      <c r="AA14" s="880"/>
      <c r="AB14" s="880"/>
      <c r="AC14" s="880"/>
      <c r="AD14" s="880"/>
      <c r="AE14" s="881"/>
    </row>
    <row r="15" spans="1:31" x14ac:dyDescent="0.2">
      <c r="A15" s="786"/>
      <c r="B15" s="437"/>
      <c r="C15" s="437"/>
      <c r="D15" s="437"/>
      <c r="E15" s="437"/>
      <c r="F15" s="437"/>
      <c r="G15" s="437"/>
      <c r="H15" s="437"/>
      <c r="I15" s="437"/>
      <c r="J15" s="437"/>
      <c r="K15" s="787"/>
      <c r="L15" s="786"/>
      <c r="M15" s="437"/>
      <c r="N15" s="437"/>
      <c r="O15" s="437"/>
      <c r="P15" s="437"/>
      <c r="Q15" s="437"/>
      <c r="R15" s="437"/>
      <c r="S15" s="437"/>
      <c r="T15" s="437"/>
      <c r="U15" s="437"/>
      <c r="V15" s="787"/>
      <c r="X15" s="874"/>
      <c r="Y15" s="874"/>
      <c r="Z15" s="874"/>
      <c r="AA15" s="874"/>
      <c r="AB15" s="874"/>
      <c r="AC15" s="874"/>
      <c r="AD15" s="874"/>
      <c r="AE15" s="874"/>
    </row>
    <row r="16" spans="1:31" x14ac:dyDescent="0.2">
      <c r="A16" s="786"/>
      <c r="B16" s="437"/>
      <c r="C16" s="437"/>
      <c r="D16" s="437"/>
      <c r="E16" s="437"/>
      <c r="F16" s="437"/>
      <c r="G16" s="437"/>
      <c r="H16" s="437"/>
      <c r="I16" s="437"/>
      <c r="J16" s="437"/>
      <c r="K16" s="787"/>
      <c r="L16" s="786"/>
      <c r="M16" s="437"/>
      <c r="N16" s="437"/>
      <c r="O16" s="437"/>
      <c r="P16" s="437"/>
      <c r="Q16" s="437"/>
      <c r="R16" s="437"/>
      <c r="S16" s="437"/>
      <c r="T16" s="437"/>
      <c r="U16" s="437"/>
      <c r="V16" s="787"/>
      <c r="X16" s="521" t="s">
        <v>2954</v>
      </c>
      <c r="Y16" s="522"/>
      <c r="Z16" s="522"/>
      <c r="AA16" s="522"/>
      <c r="AB16" s="522"/>
      <c r="AC16" s="522"/>
      <c r="AD16" s="522"/>
      <c r="AE16" s="522"/>
    </row>
    <row r="17" spans="1:32" x14ac:dyDescent="0.2">
      <c r="A17" s="786"/>
      <c r="B17" s="437"/>
      <c r="C17" s="437"/>
      <c r="D17" s="437"/>
      <c r="E17" s="437"/>
      <c r="F17" s="437"/>
      <c r="G17" s="437"/>
      <c r="H17" s="437"/>
      <c r="I17" s="437"/>
      <c r="J17" s="437"/>
      <c r="K17" s="787"/>
      <c r="L17" s="786"/>
      <c r="M17" s="437"/>
      <c r="N17" s="437"/>
      <c r="O17" s="437"/>
      <c r="P17" s="437"/>
      <c r="Q17" s="437"/>
      <c r="R17" s="437"/>
      <c r="S17" s="437"/>
      <c r="T17" s="437"/>
      <c r="U17" s="437"/>
      <c r="V17" s="787"/>
      <c r="X17" s="522"/>
      <c r="Y17" s="522"/>
      <c r="Z17" s="522"/>
      <c r="AA17" s="522"/>
      <c r="AB17" s="522"/>
      <c r="AC17" s="522"/>
      <c r="AD17" s="522"/>
      <c r="AE17" s="522"/>
    </row>
    <row r="18" spans="1:32" x14ac:dyDescent="0.2">
      <c r="A18" s="786"/>
      <c r="B18" s="437"/>
      <c r="C18" s="437"/>
      <c r="D18" s="437"/>
      <c r="E18" s="437"/>
      <c r="F18" s="437"/>
      <c r="G18" s="437"/>
      <c r="H18" s="437"/>
      <c r="I18" s="437"/>
      <c r="J18" s="437"/>
      <c r="K18" s="787"/>
      <c r="L18" s="786"/>
      <c r="M18" s="437"/>
      <c r="N18" s="437"/>
      <c r="O18" s="437"/>
      <c r="P18" s="437"/>
      <c r="Q18" s="437"/>
      <c r="R18" s="437"/>
      <c r="S18" s="437"/>
      <c r="T18" s="437"/>
      <c r="U18" s="437"/>
      <c r="V18" s="787"/>
      <c r="X18" s="885" t="s">
        <v>2959</v>
      </c>
      <c r="Y18" s="886"/>
      <c r="Z18" s="886"/>
      <c r="AA18" s="886"/>
      <c r="AB18" s="886"/>
      <c r="AC18" s="886"/>
      <c r="AD18" s="886"/>
      <c r="AE18" s="886"/>
    </row>
    <row r="19" spans="1:32" ht="13.5" thickBot="1" x14ac:dyDescent="0.25">
      <c r="A19" s="786"/>
      <c r="B19" s="437"/>
      <c r="C19" s="437"/>
      <c r="D19" s="437"/>
      <c r="E19" s="437"/>
      <c r="F19" s="437"/>
      <c r="G19" s="437"/>
      <c r="H19" s="437"/>
      <c r="I19" s="437"/>
      <c r="J19" s="437"/>
      <c r="K19" s="787"/>
      <c r="L19" s="786"/>
      <c r="M19" s="437"/>
      <c r="N19" s="437"/>
      <c r="O19" s="437"/>
      <c r="P19" s="437"/>
      <c r="Q19" s="437"/>
      <c r="R19" s="437"/>
      <c r="S19" s="437"/>
      <c r="T19" s="437"/>
      <c r="U19" s="437"/>
      <c r="V19" s="787"/>
      <c r="X19" s="887">
        <v>35</v>
      </c>
      <c r="Y19" s="888" t="s">
        <v>139</v>
      </c>
      <c r="Z19" s="888"/>
      <c r="AA19" s="889">
        <v>35</v>
      </c>
      <c r="AB19" s="888" t="s">
        <v>2969</v>
      </c>
      <c r="AC19" s="888"/>
      <c r="AD19" s="889">
        <f>(X19+AA19)*2</f>
        <v>140</v>
      </c>
      <c r="AE19" s="890" t="s">
        <v>2955</v>
      </c>
      <c r="AF19" s="338"/>
    </row>
    <row r="20" spans="1:32" x14ac:dyDescent="0.2">
      <c r="A20" s="786"/>
      <c r="B20" s="437"/>
      <c r="C20" s="437"/>
      <c r="D20" s="437"/>
      <c r="E20" s="437"/>
      <c r="F20" s="437"/>
      <c r="G20" s="437"/>
      <c r="H20" s="437"/>
      <c r="I20" s="437"/>
      <c r="J20" s="437"/>
      <c r="K20" s="787"/>
      <c r="L20" s="786"/>
      <c r="M20" s="437"/>
      <c r="N20" s="437"/>
      <c r="O20" s="437"/>
      <c r="P20" s="437"/>
      <c r="Q20" s="437"/>
      <c r="R20" s="437"/>
      <c r="S20" s="437"/>
      <c r="T20" s="437"/>
      <c r="U20" s="437"/>
      <c r="V20" s="787"/>
      <c r="X20" s="891">
        <v>20</v>
      </c>
      <c r="Y20" s="886" t="s">
        <v>2956</v>
      </c>
      <c r="Z20" s="886"/>
      <c r="AA20" s="892">
        <v>20</v>
      </c>
      <c r="AB20" s="886" t="s">
        <v>2956</v>
      </c>
      <c r="AC20" s="886"/>
      <c r="AD20" s="893" t="s">
        <v>2967</v>
      </c>
      <c r="AE20" s="894"/>
      <c r="AF20" s="338"/>
    </row>
    <row r="21" spans="1:32" x14ac:dyDescent="0.2">
      <c r="A21" s="786"/>
      <c r="B21" s="437"/>
      <c r="C21" s="437"/>
      <c r="D21" s="437"/>
      <c r="E21" s="437"/>
      <c r="F21" s="437"/>
      <c r="G21" s="437"/>
      <c r="H21" s="437"/>
      <c r="I21" s="437"/>
      <c r="J21" s="437"/>
      <c r="K21" s="787"/>
      <c r="L21" s="786"/>
      <c r="M21" s="437"/>
      <c r="N21" s="437"/>
      <c r="O21" s="437"/>
      <c r="P21" s="437"/>
      <c r="Q21" s="437"/>
      <c r="R21" s="437"/>
      <c r="S21" s="437"/>
      <c r="T21" s="437"/>
      <c r="U21" s="437"/>
      <c r="V21" s="787"/>
      <c r="X21" s="895">
        <v>15</v>
      </c>
      <c r="Y21" s="896" t="s">
        <v>2957</v>
      </c>
      <c r="Z21" s="896"/>
      <c r="AA21" s="897">
        <v>15</v>
      </c>
      <c r="AB21" s="896" t="s">
        <v>2957</v>
      </c>
      <c r="AC21" s="896"/>
      <c r="AD21" s="898" t="s">
        <v>2968</v>
      </c>
      <c r="AE21" s="899"/>
      <c r="AF21" s="338"/>
    </row>
    <row r="22" spans="1:32" x14ac:dyDescent="0.2">
      <c r="A22" s="786"/>
      <c r="B22" s="437"/>
      <c r="C22" s="437"/>
      <c r="D22" s="437"/>
      <c r="E22" s="437"/>
      <c r="F22" s="437"/>
      <c r="G22" s="437"/>
      <c r="H22" s="437"/>
      <c r="I22" s="437"/>
      <c r="J22" s="437"/>
      <c r="K22" s="787"/>
      <c r="L22" s="786"/>
      <c r="M22" s="437"/>
      <c r="N22" s="437"/>
      <c r="O22" s="437"/>
      <c r="P22" s="437"/>
      <c r="Q22" s="437"/>
      <c r="R22" s="437"/>
      <c r="S22" s="437"/>
      <c r="T22" s="437"/>
      <c r="U22" s="437"/>
      <c r="V22" s="787"/>
      <c r="X22" s="226"/>
      <c r="Y22" s="522"/>
      <c r="Z22" s="522"/>
      <c r="AA22" s="522"/>
      <c r="AB22" s="522"/>
      <c r="AC22" s="522"/>
      <c r="AD22" s="883"/>
      <c r="AE22" s="522"/>
      <c r="AF22" s="338"/>
    </row>
    <row r="23" spans="1:32" x14ac:dyDescent="0.2">
      <c r="A23" s="786"/>
      <c r="B23" s="437"/>
      <c r="C23" s="437"/>
      <c r="D23" s="437"/>
      <c r="E23" s="437"/>
      <c r="F23" s="437"/>
      <c r="G23" s="437"/>
      <c r="H23" s="437"/>
      <c r="I23" s="437"/>
      <c r="J23" s="437"/>
      <c r="K23" s="787"/>
      <c r="L23" s="786"/>
      <c r="M23" s="437"/>
      <c r="N23" s="437"/>
      <c r="O23" s="437"/>
      <c r="P23" s="437"/>
      <c r="Q23" s="437"/>
      <c r="R23" s="437"/>
      <c r="S23" s="437"/>
      <c r="T23" s="437"/>
      <c r="U23" s="437"/>
      <c r="V23" s="787"/>
      <c r="X23" s="522"/>
      <c r="Y23" s="522"/>
      <c r="Z23" s="522"/>
      <c r="AA23" s="522"/>
      <c r="AB23" s="522"/>
      <c r="AC23" s="522"/>
      <c r="AD23" s="882"/>
      <c r="AE23" s="522"/>
    </row>
    <row r="24" spans="1:32" x14ac:dyDescent="0.2">
      <c r="A24" s="786"/>
      <c r="B24" s="437"/>
      <c r="C24" s="437"/>
      <c r="D24" s="437"/>
      <c r="E24" s="437"/>
      <c r="F24" s="437"/>
      <c r="G24" s="437"/>
      <c r="H24" s="437"/>
      <c r="I24" s="437"/>
      <c r="J24" s="437"/>
      <c r="K24" s="787"/>
      <c r="L24" s="786"/>
      <c r="M24" s="437"/>
      <c r="N24" s="437"/>
      <c r="O24" s="437"/>
      <c r="P24" s="437"/>
      <c r="Q24" s="437"/>
      <c r="R24" s="437"/>
      <c r="S24" s="437"/>
      <c r="T24" s="437"/>
      <c r="U24" s="437"/>
      <c r="V24" s="787"/>
      <c r="X24" s="900" t="s">
        <v>2958</v>
      </c>
      <c r="Y24" s="901"/>
      <c r="Z24" s="901"/>
      <c r="AA24" s="901"/>
      <c r="AB24" s="901"/>
      <c r="AC24" s="901"/>
      <c r="AD24" s="902"/>
      <c r="AE24" s="901"/>
    </row>
    <row r="25" spans="1:32" ht="13.5" thickBot="1" x14ac:dyDescent="0.25">
      <c r="A25" s="786"/>
      <c r="B25" s="437"/>
      <c r="C25" s="437"/>
      <c r="D25" s="437"/>
      <c r="E25" s="437"/>
      <c r="F25" s="437"/>
      <c r="G25" s="437"/>
      <c r="H25" s="437"/>
      <c r="I25" s="437"/>
      <c r="J25" s="437"/>
      <c r="K25" s="787"/>
      <c r="L25" s="786"/>
      <c r="M25" s="437"/>
      <c r="N25" s="437"/>
      <c r="O25" s="437"/>
      <c r="P25" s="437"/>
      <c r="Q25" s="437"/>
      <c r="R25" s="437"/>
      <c r="S25" s="437"/>
      <c r="T25" s="437"/>
      <c r="U25" s="437"/>
      <c r="V25" s="787"/>
      <c r="X25" s="903">
        <v>60</v>
      </c>
      <c r="Y25" s="904" t="s">
        <v>139</v>
      </c>
      <c r="Z25" s="904"/>
      <c r="AA25" s="905">
        <v>60</v>
      </c>
      <c r="AB25" s="904" t="s">
        <v>2969</v>
      </c>
      <c r="AC25" s="904"/>
      <c r="AD25" s="905">
        <f>(X25+AA25)*2</f>
        <v>240</v>
      </c>
      <c r="AE25" s="906" t="s">
        <v>2955</v>
      </c>
    </row>
    <row r="26" spans="1:32" x14ac:dyDescent="0.2">
      <c r="A26" s="786"/>
      <c r="B26" s="437"/>
      <c r="C26" s="437"/>
      <c r="D26" s="437"/>
      <c r="E26" s="437"/>
      <c r="F26" s="437"/>
      <c r="G26" s="437"/>
      <c r="H26" s="437"/>
      <c r="I26" s="437"/>
      <c r="J26" s="437"/>
      <c r="K26" s="787"/>
      <c r="L26" s="786"/>
      <c r="M26" s="437"/>
      <c r="N26" s="437"/>
      <c r="O26" s="437"/>
      <c r="P26" s="437"/>
      <c r="Q26" s="437"/>
      <c r="R26" s="437"/>
      <c r="S26" s="437"/>
      <c r="T26" s="437"/>
      <c r="U26" s="437"/>
      <c r="V26" s="787"/>
      <c r="X26" s="907">
        <v>40</v>
      </c>
      <c r="Y26" s="901" t="s">
        <v>2956</v>
      </c>
      <c r="Z26" s="901"/>
      <c r="AA26" s="902">
        <v>40</v>
      </c>
      <c r="AB26" s="901" t="s">
        <v>2956</v>
      </c>
      <c r="AC26" s="901"/>
      <c r="AD26" s="908" t="s">
        <v>2967</v>
      </c>
      <c r="AE26" s="909"/>
    </row>
    <row r="27" spans="1:32" x14ac:dyDescent="0.2">
      <c r="A27" s="786"/>
      <c r="B27" s="437"/>
      <c r="C27" s="437"/>
      <c r="D27" s="437"/>
      <c r="E27" s="437"/>
      <c r="F27" s="437"/>
      <c r="G27" s="437"/>
      <c r="H27" s="437"/>
      <c r="I27" s="437"/>
      <c r="J27" s="437"/>
      <c r="K27" s="787"/>
      <c r="L27" s="786"/>
      <c r="M27" s="437"/>
      <c r="N27" s="437"/>
      <c r="O27" s="437"/>
      <c r="P27" s="437"/>
      <c r="Q27" s="437"/>
      <c r="R27" s="437"/>
      <c r="S27" s="437"/>
      <c r="T27" s="437"/>
      <c r="U27" s="437"/>
      <c r="V27" s="787"/>
      <c r="X27" s="910">
        <v>20</v>
      </c>
      <c r="Y27" s="911" t="s">
        <v>2957</v>
      </c>
      <c r="Z27" s="911"/>
      <c r="AA27" s="912">
        <v>20</v>
      </c>
      <c r="AB27" s="911" t="s">
        <v>2957</v>
      </c>
      <c r="AC27" s="911"/>
      <c r="AD27" s="913" t="s">
        <v>2968</v>
      </c>
      <c r="AE27" s="914"/>
    </row>
    <row r="28" spans="1:32" x14ac:dyDescent="0.2">
      <c r="A28" s="786"/>
      <c r="B28" s="437"/>
      <c r="C28" s="437"/>
      <c r="D28" s="437"/>
      <c r="E28" s="437"/>
      <c r="F28" s="437"/>
      <c r="G28" s="437"/>
      <c r="H28" s="437"/>
      <c r="I28" s="437"/>
      <c r="J28" s="437"/>
      <c r="K28" s="787"/>
      <c r="L28" s="786"/>
      <c r="M28" s="437"/>
      <c r="N28" s="437"/>
      <c r="O28" s="437"/>
      <c r="P28" s="437"/>
      <c r="Q28" s="437"/>
      <c r="R28" s="437"/>
      <c r="S28" s="437"/>
      <c r="T28" s="437"/>
      <c r="U28" s="437"/>
      <c r="V28" s="787"/>
      <c r="X28" s="191"/>
      <c r="Y28" s="191"/>
      <c r="Z28" s="191"/>
      <c r="AA28" s="191"/>
      <c r="AB28" s="191"/>
      <c r="AC28" s="191"/>
      <c r="AD28" s="191"/>
      <c r="AE28" s="191"/>
    </row>
    <row r="29" spans="1:32" x14ac:dyDescent="0.2">
      <c r="A29" s="786"/>
      <c r="B29" s="437"/>
      <c r="C29" s="437"/>
      <c r="D29" s="437"/>
      <c r="E29" s="437"/>
      <c r="F29" s="437"/>
      <c r="G29" s="437"/>
      <c r="H29" s="437"/>
      <c r="I29" s="437"/>
      <c r="J29" s="437"/>
      <c r="K29" s="787"/>
      <c r="L29" s="786"/>
      <c r="M29" s="437"/>
      <c r="N29" s="437"/>
      <c r="O29" s="437"/>
      <c r="P29" s="437"/>
      <c r="Q29" s="437"/>
      <c r="R29" s="437"/>
      <c r="S29" s="437"/>
      <c r="T29" s="437"/>
      <c r="U29" s="437"/>
      <c r="V29" s="787"/>
      <c r="X29" s="191"/>
      <c r="Y29" s="191"/>
      <c r="Z29" s="191"/>
      <c r="AA29" s="191"/>
      <c r="AB29" s="191"/>
      <c r="AC29" s="191"/>
      <c r="AD29" s="191"/>
      <c r="AE29" s="191"/>
    </row>
    <row r="30" spans="1:32" x14ac:dyDescent="0.2">
      <c r="A30" s="786"/>
      <c r="B30" s="437"/>
      <c r="C30" s="437"/>
      <c r="D30" s="437"/>
      <c r="E30" s="437"/>
      <c r="F30" s="437"/>
      <c r="G30" s="437"/>
      <c r="H30" s="437"/>
      <c r="I30" s="437"/>
      <c r="J30" s="437"/>
      <c r="K30" s="787"/>
      <c r="L30" s="786"/>
      <c r="M30" s="437"/>
      <c r="N30" s="437"/>
      <c r="O30" s="437"/>
      <c r="P30" s="437"/>
      <c r="Q30" s="437"/>
      <c r="R30" s="437"/>
      <c r="S30" s="437"/>
      <c r="T30" s="437"/>
      <c r="U30" s="437"/>
      <c r="V30" s="787"/>
      <c r="X30" s="884" t="s">
        <v>2960</v>
      </c>
      <c r="Y30" s="191"/>
      <c r="Z30" s="191"/>
      <c r="AA30" s="191"/>
      <c r="AB30" s="191"/>
      <c r="AC30" s="191"/>
      <c r="AD30" s="191"/>
      <c r="AE30" s="191"/>
    </row>
    <row r="31" spans="1:32" x14ac:dyDescent="0.2">
      <c r="A31" s="786"/>
      <c r="B31" s="437"/>
      <c r="C31" s="437"/>
      <c r="D31" s="437"/>
      <c r="E31" s="437"/>
      <c r="F31" s="437"/>
      <c r="G31" s="437"/>
      <c r="H31" s="437"/>
      <c r="I31" s="437"/>
      <c r="J31" s="437"/>
      <c r="K31" s="787"/>
      <c r="L31" s="786"/>
      <c r="M31" s="437"/>
      <c r="N31" s="437"/>
      <c r="O31" s="437"/>
      <c r="P31" s="437"/>
      <c r="Q31" s="437"/>
      <c r="R31" s="437"/>
      <c r="S31" s="437"/>
      <c r="T31" s="437"/>
      <c r="U31" s="437"/>
      <c r="V31" s="787"/>
      <c r="X31" s="884" t="s">
        <v>2961</v>
      </c>
      <c r="Y31" s="191"/>
      <c r="Z31" s="191"/>
      <c r="AA31" s="191"/>
      <c r="AB31" s="191"/>
      <c r="AC31" s="191"/>
      <c r="AD31" s="191"/>
      <c r="AE31" s="191"/>
    </row>
    <row r="32" spans="1:32" x14ac:dyDescent="0.2">
      <c r="A32" s="786"/>
      <c r="B32" s="437"/>
      <c r="C32" s="437"/>
      <c r="D32" s="437"/>
      <c r="E32" s="437"/>
      <c r="F32" s="437"/>
      <c r="G32" s="437"/>
      <c r="H32" s="437"/>
      <c r="I32" s="437"/>
      <c r="J32" s="437"/>
      <c r="K32" s="787"/>
      <c r="L32" s="786"/>
      <c r="M32" s="437"/>
      <c r="N32" s="437"/>
      <c r="O32" s="437"/>
      <c r="P32" s="437"/>
      <c r="Q32" s="437"/>
      <c r="R32" s="437"/>
      <c r="S32" s="437"/>
      <c r="T32" s="437"/>
      <c r="U32" s="437"/>
      <c r="V32" s="787"/>
      <c r="X32" s="191"/>
      <c r="Y32" s="191"/>
      <c r="Z32" s="191"/>
      <c r="AA32" s="191"/>
      <c r="AB32" s="191"/>
      <c r="AC32" s="191"/>
      <c r="AD32" s="191"/>
      <c r="AE32" s="191"/>
    </row>
    <row r="33" spans="1:31" x14ac:dyDescent="0.2">
      <c r="A33" s="786"/>
      <c r="B33" s="437"/>
      <c r="C33" s="437"/>
      <c r="D33" s="437"/>
      <c r="E33" s="437"/>
      <c r="F33" s="437"/>
      <c r="G33" s="437"/>
      <c r="H33" s="437"/>
      <c r="I33" s="437"/>
      <c r="J33" s="437"/>
      <c r="K33" s="787"/>
      <c r="L33" s="786"/>
      <c r="M33" s="437"/>
      <c r="N33" s="437"/>
      <c r="O33" s="437"/>
      <c r="P33" s="437"/>
      <c r="Q33" s="437"/>
      <c r="R33" s="437"/>
      <c r="S33" s="437"/>
      <c r="T33" s="437"/>
      <c r="U33" s="437"/>
      <c r="V33" s="787"/>
      <c r="X33" s="915" t="s">
        <v>2964</v>
      </c>
      <c r="Y33" s="916"/>
      <c r="Z33" s="916"/>
      <c r="AA33" s="916"/>
      <c r="AB33" s="916"/>
      <c r="AC33" s="916"/>
      <c r="AD33" s="917"/>
      <c r="AE33" s="916"/>
    </row>
    <row r="34" spans="1:31" ht="13.5" thickBot="1" x14ac:dyDescent="0.25">
      <c r="A34" s="786"/>
      <c r="B34" s="437"/>
      <c r="C34" s="437"/>
      <c r="D34" s="437"/>
      <c r="E34" s="437"/>
      <c r="F34" s="437"/>
      <c r="G34" s="437"/>
      <c r="H34" s="437"/>
      <c r="I34" s="437"/>
      <c r="J34" s="437"/>
      <c r="K34" s="787"/>
      <c r="L34" s="786"/>
      <c r="M34" s="437"/>
      <c r="N34" s="437"/>
      <c r="O34" s="437"/>
      <c r="P34" s="437"/>
      <c r="Q34" s="437"/>
      <c r="R34" s="437"/>
      <c r="S34" s="437"/>
      <c r="T34" s="437"/>
      <c r="U34" s="437"/>
      <c r="V34" s="787"/>
      <c r="X34" s="918">
        <v>100</v>
      </c>
      <c r="Y34" s="919" t="s">
        <v>139</v>
      </c>
      <c r="Z34" s="919"/>
      <c r="AA34" s="920">
        <v>100</v>
      </c>
      <c r="AB34" s="919" t="s">
        <v>2969</v>
      </c>
      <c r="AC34" s="919"/>
      <c r="AD34" s="920">
        <f>(X34+AA34)*2</f>
        <v>400</v>
      </c>
      <c r="AE34" s="921" t="s">
        <v>2955</v>
      </c>
    </row>
    <row r="35" spans="1:31" x14ac:dyDescent="0.2">
      <c r="A35" s="786"/>
      <c r="B35" s="437"/>
      <c r="C35" s="437"/>
      <c r="D35" s="437"/>
      <c r="E35" s="437"/>
      <c r="F35" s="437"/>
      <c r="G35" s="437"/>
      <c r="H35" s="437"/>
      <c r="I35" s="437"/>
      <c r="J35" s="437"/>
      <c r="K35" s="787"/>
      <c r="L35" s="786"/>
      <c r="M35" s="437"/>
      <c r="N35" s="437"/>
      <c r="O35" s="437"/>
      <c r="P35" s="437"/>
      <c r="Q35" s="437"/>
      <c r="R35" s="437"/>
      <c r="S35" s="437"/>
      <c r="T35" s="437"/>
      <c r="U35" s="437"/>
      <c r="V35" s="787"/>
      <c r="X35" s="922">
        <v>40</v>
      </c>
      <c r="Y35" s="916" t="s">
        <v>2965</v>
      </c>
      <c r="Z35" s="916"/>
      <c r="AA35" s="917">
        <v>40</v>
      </c>
      <c r="AB35" s="916" t="s">
        <v>2965</v>
      </c>
      <c r="AC35" s="916"/>
      <c r="AD35" s="923" t="s">
        <v>2967</v>
      </c>
      <c r="AE35" s="924"/>
    </row>
    <row r="36" spans="1:31" x14ac:dyDescent="0.2">
      <c r="A36" s="786"/>
      <c r="B36" s="437"/>
      <c r="C36" s="437"/>
      <c r="D36" s="437"/>
      <c r="E36" s="437"/>
      <c r="F36" s="437"/>
      <c r="G36" s="437"/>
      <c r="H36" s="437"/>
      <c r="I36" s="437"/>
      <c r="J36" s="437"/>
      <c r="K36" s="787"/>
      <c r="L36" s="786"/>
      <c r="M36" s="437"/>
      <c r="N36" s="437"/>
      <c r="O36" s="437"/>
      <c r="P36" s="437"/>
      <c r="Q36" s="437"/>
      <c r="R36" s="437"/>
      <c r="S36" s="437"/>
      <c r="T36" s="437"/>
      <c r="U36" s="437"/>
      <c r="V36" s="787"/>
      <c r="X36" s="922">
        <v>40</v>
      </c>
      <c r="Y36" s="916" t="s">
        <v>2966</v>
      </c>
      <c r="Z36" s="916"/>
      <c r="AA36" s="917">
        <v>40</v>
      </c>
      <c r="AB36" s="916" t="s">
        <v>2966</v>
      </c>
      <c r="AC36" s="916"/>
      <c r="AD36" s="923" t="s">
        <v>2968</v>
      </c>
      <c r="AE36" s="924"/>
    </row>
    <row r="37" spans="1:31" x14ac:dyDescent="0.2">
      <c r="A37" s="786"/>
      <c r="B37" s="437"/>
      <c r="C37" s="437"/>
      <c r="D37" s="437"/>
      <c r="E37" s="437"/>
      <c r="F37" s="437"/>
      <c r="G37" s="437"/>
      <c r="H37" s="437"/>
      <c r="I37" s="437"/>
      <c r="J37" s="437"/>
      <c r="K37" s="787"/>
      <c r="L37" s="786"/>
      <c r="M37" s="437"/>
      <c r="N37" s="437"/>
      <c r="O37" s="437"/>
      <c r="P37" s="437"/>
      <c r="Q37" s="437"/>
      <c r="R37" s="437"/>
      <c r="S37" s="437"/>
      <c r="T37" s="437"/>
      <c r="U37" s="437"/>
      <c r="V37" s="787"/>
      <c r="X37" s="925">
        <v>20</v>
      </c>
      <c r="Y37" s="926" t="s">
        <v>2957</v>
      </c>
      <c r="Z37" s="926"/>
      <c r="AA37" s="927">
        <v>20</v>
      </c>
      <c r="AB37" s="926" t="s">
        <v>2957</v>
      </c>
      <c r="AC37" s="928"/>
      <c r="AD37" s="928"/>
      <c r="AE37" s="929"/>
    </row>
    <row r="38" spans="1:31" x14ac:dyDescent="0.2">
      <c r="A38" s="786"/>
      <c r="B38" s="437"/>
      <c r="C38" s="437"/>
      <c r="D38" s="437"/>
      <c r="E38" s="437"/>
      <c r="F38" s="437"/>
      <c r="G38" s="437"/>
      <c r="H38" s="437"/>
      <c r="I38" s="437"/>
      <c r="J38" s="437"/>
      <c r="K38" s="787"/>
      <c r="L38" s="786"/>
      <c r="M38" s="437"/>
      <c r="N38" s="437"/>
      <c r="O38" s="437"/>
      <c r="P38" s="437"/>
      <c r="Q38" s="437"/>
      <c r="R38" s="437"/>
      <c r="S38" s="437"/>
      <c r="T38" s="437"/>
      <c r="U38" s="437"/>
      <c r="V38" s="787"/>
      <c r="X38" s="191"/>
      <c r="Y38" s="191"/>
      <c r="Z38" s="191"/>
      <c r="AA38" s="191"/>
      <c r="AB38" s="191"/>
      <c r="AC38" s="191"/>
      <c r="AD38" s="191"/>
      <c r="AE38" s="191"/>
    </row>
    <row r="39" spans="1:31" x14ac:dyDescent="0.2">
      <c r="A39" s="786"/>
      <c r="B39" s="437"/>
      <c r="C39" s="437"/>
      <c r="D39" s="437"/>
      <c r="E39" s="437"/>
      <c r="F39" s="437"/>
      <c r="G39" s="437"/>
      <c r="H39" s="437"/>
      <c r="I39" s="437"/>
      <c r="J39" s="437"/>
      <c r="K39" s="787"/>
      <c r="L39" s="786"/>
      <c r="M39" s="437"/>
      <c r="N39" s="437"/>
      <c r="O39" s="437"/>
      <c r="P39" s="437"/>
      <c r="Q39" s="437"/>
      <c r="R39" s="437"/>
      <c r="S39" s="437"/>
      <c r="T39" s="437"/>
      <c r="U39" s="437"/>
      <c r="V39" s="787"/>
      <c r="X39" s="191"/>
      <c r="Y39" s="191"/>
      <c r="Z39" s="191"/>
      <c r="AA39" s="191"/>
      <c r="AB39" s="191"/>
      <c r="AC39" s="191"/>
      <c r="AD39" s="191"/>
      <c r="AE39" s="191"/>
    </row>
    <row r="40" spans="1:31" x14ac:dyDescent="0.2">
      <c r="A40" s="786"/>
      <c r="B40" s="437"/>
      <c r="C40" s="437"/>
      <c r="D40" s="437"/>
      <c r="E40" s="437"/>
      <c r="F40" s="437"/>
      <c r="G40" s="437"/>
      <c r="H40" s="437"/>
      <c r="I40" s="437"/>
      <c r="J40" s="437"/>
      <c r="K40" s="787"/>
      <c r="L40" s="786"/>
      <c r="M40" s="437"/>
      <c r="N40" s="437"/>
      <c r="O40" s="437"/>
      <c r="P40" s="437"/>
      <c r="Q40" s="437"/>
      <c r="R40" s="437"/>
      <c r="S40" s="437"/>
      <c r="T40" s="437"/>
      <c r="U40" s="437"/>
      <c r="V40" s="787"/>
      <c r="Y40" s="1599" t="s">
        <v>2970</v>
      </c>
      <c r="Z40" s="1600"/>
      <c r="AA40" s="1600"/>
      <c r="AB40" s="1600"/>
      <c r="AC40" s="1600"/>
      <c r="AD40" s="1601"/>
    </row>
    <row r="41" spans="1:31" x14ac:dyDescent="0.2">
      <c r="A41" s="786"/>
      <c r="B41" s="437"/>
      <c r="C41" s="437"/>
      <c r="D41" s="437"/>
      <c r="E41" s="437"/>
      <c r="F41" s="437"/>
      <c r="G41" s="437"/>
      <c r="H41" s="437"/>
      <c r="I41" s="437"/>
      <c r="J41" s="437"/>
      <c r="K41" s="787"/>
      <c r="L41" s="786"/>
      <c r="M41" s="437"/>
      <c r="N41" s="437"/>
      <c r="O41" s="437"/>
      <c r="P41" s="437"/>
      <c r="Q41" s="437"/>
      <c r="R41" s="437"/>
      <c r="S41" s="437"/>
      <c r="T41" s="437"/>
      <c r="U41" s="437"/>
      <c r="V41" s="787"/>
      <c r="Y41" s="1602"/>
      <c r="Z41" s="1603"/>
      <c r="AA41" s="1603"/>
      <c r="AB41" s="1603"/>
      <c r="AC41" s="1603"/>
      <c r="AD41" s="1604"/>
    </row>
    <row r="42" spans="1:31" x14ac:dyDescent="0.2">
      <c r="A42" s="786"/>
      <c r="B42" s="437"/>
      <c r="C42" s="437"/>
      <c r="D42" s="437"/>
      <c r="E42" s="437"/>
      <c r="F42" s="437"/>
      <c r="G42" s="437"/>
      <c r="H42" s="437"/>
      <c r="I42" s="437"/>
      <c r="J42" s="437"/>
      <c r="K42" s="787"/>
      <c r="L42" s="786"/>
      <c r="M42" s="437"/>
      <c r="N42" s="437"/>
      <c r="O42" s="437"/>
      <c r="P42" s="437"/>
      <c r="Q42" s="437"/>
      <c r="R42" s="437"/>
      <c r="S42" s="437"/>
      <c r="T42" s="437"/>
      <c r="U42" s="437"/>
      <c r="V42" s="787"/>
    </row>
    <row r="43" spans="1:31" x14ac:dyDescent="0.2">
      <c r="A43" s="786"/>
      <c r="B43" s="437"/>
      <c r="C43" s="437"/>
      <c r="D43" s="437"/>
      <c r="E43" s="437"/>
      <c r="F43" s="437"/>
      <c r="G43" s="437"/>
      <c r="H43" s="437"/>
      <c r="I43" s="437"/>
      <c r="J43" s="437"/>
      <c r="K43" s="787"/>
      <c r="L43" s="786"/>
      <c r="M43" s="437"/>
      <c r="N43" s="437"/>
      <c r="O43" s="437"/>
      <c r="P43" s="437"/>
      <c r="Q43" s="437"/>
      <c r="R43" s="437"/>
      <c r="S43" s="437"/>
      <c r="T43" s="437"/>
      <c r="U43" s="437"/>
      <c r="V43" s="787"/>
    </row>
    <row r="44" spans="1:31" x14ac:dyDescent="0.2">
      <c r="A44" s="786"/>
      <c r="B44" s="437"/>
      <c r="C44" s="437"/>
      <c r="D44" s="437"/>
      <c r="E44" s="437"/>
      <c r="F44" s="437"/>
      <c r="G44" s="437"/>
      <c r="H44" s="437"/>
      <c r="I44" s="437"/>
      <c r="J44" s="437"/>
      <c r="K44" s="787"/>
      <c r="L44" s="786"/>
      <c r="M44" s="437"/>
      <c r="N44" s="437"/>
      <c r="O44" s="437"/>
      <c r="P44" s="437"/>
      <c r="Q44" s="437"/>
      <c r="R44" s="437"/>
      <c r="S44" s="437"/>
      <c r="T44" s="437"/>
      <c r="U44" s="437"/>
      <c r="V44" s="787"/>
    </row>
    <row r="45" spans="1:31" x14ac:dyDescent="0.2">
      <c r="A45" s="786"/>
      <c r="B45" s="437"/>
      <c r="C45" s="437"/>
      <c r="D45" s="437"/>
      <c r="E45" s="437"/>
      <c r="F45" s="437"/>
      <c r="G45" s="437"/>
      <c r="H45" s="437"/>
      <c r="I45" s="437"/>
      <c r="J45" s="437"/>
      <c r="K45" s="787"/>
      <c r="L45" s="786"/>
      <c r="M45" s="437"/>
      <c r="N45" s="437"/>
      <c r="O45" s="437"/>
      <c r="P45" s="437"/>
      <c r="Q45" s="437"/>
      <c r="R45" s="437"/>
      <c r="S45" s="437"/>
      <c r="T45" s="437"/>
      <c r="U45" s="437"/>
      <c r="V45" s="787"/>
    </row>
    <row r="46" spans="1:31" x14ac:dyDescent="0.2">
      <c r="A46" s="786"/>
      <c r="B46" s="437"/>
      <c r="C46" s="437"/>
      <c r="D46" s="437"/>
      <c r="E46" s="437"/>
      <c r="F46" s="437"/>
      <c r="G46" s="437"/>
      <c r="H46" s="437"/>
      <c r="I46" s="437"/>
      <c r="J46" s="437"/>
      <c r="K46" s="787"/>
      <c r="L46" s="786"/>
      <c r="M46" s="437"/>
      <c r="N46" s="437"/>
      <c r="O46" s="437"/>
      <c r="P46" s="437"/>
      <c r="Q46" s="437"/>
      <c r="R46" s="437"/>
      <c r="S46" s="437"/>
      <c r="T46" s="437"/>
      <c r="U46" s="437"/>
      <c r="V46" s="787"/>
    </row>
    <row r="47" spans="1:31" x14ac:dyDescent="0.2">
      <c r="A47" s="786"/>
      <c r="B47" s="437"/>
      <c r="C47" s="437"/>
      <c r="D47" s="437"/>
      <c r="E47" s="437"/>
      <c r="F47" s="437"/>
      <c r="G47" s="437"/>
      <c r="H47" s="437"/>
      <c r="I47" s="437"/>
      <c r="J47" s="437"/>
      <c r="K47" s="787"/>
      <c r="L47" s="786"/>
      <c r="M47" s="437"/>
      <c r="N47" s="437"/>
      <c r="O47" s="437"/>
      <c r="P47" s="437"/>
      <c r="Q47" s="437"/>
      <c r="R47" s="437"/>
      <c r="S47" s="437"/>
      <c r="T47" s="437"/>
      <c r="U47" s="437"/>
      <c r="V47" s="787"/>
    </row>
    <row r="48" spans="1:31" x14ac:dyDescent="0.2">
      <c r="A48" s="786"/>
      <c r="B48" s="437"/>
      <c r="C48" s="437"/>
      <c r="D48" s="437"/>
      <c r="E48" s="437"/>
      <c r="F48" s="437"/>
      <c r="G48" s="437"/>
      <c r="H48" s="437"/>
      <c r="I48" s="437"/>
      <c r="J48" s="437"/>
      <c r="K48" s="787"/>
      <c r="L48" s="786"/>
      <c r="M48" s="437"/>
      <c r="N48" s="437"/>
      <c r="O48" s="437"/>
      <c r="P48" s="437"/>
      <c r="Q48" s="437"/>
      <c r="R48" s="437"/>
      <c r="S48" s="437"/>
      <c r="T48" s="437"/>
      <c r="U48" s="437"/>
      <c r="V48" s="787"/>
    </row>
    <row r="49" spans="1:22" x14ac:dyDescent="0.2">
      <c r="A49" s="786"/>
      <c r="B49" s="437"/>
      <c r="C49" s="437"/>
      <c r="D49" s="437"/>
      <c r="E49" s="437"/>
      <c r="F49" s="437"/>
      <c r="G49" s="437"/>
      <c r="H49" s="437"/>
      <c r="I49" s="437"/>
      <c r="J49" s="437"/>
      <c r="K49" s="787"/>
      <c r="L49" s="786"/>
      <c r="M49" s="437"/>
      <c r="N49" s="437"/>
      <c r="O49" s="437"/>
      <c r="P49" s="437"/>
      <c r="Q49" s="437"/>
      <c r="R49" s="437"/>
      <c r="S49" s="437"/>
      <c r="T49" s="437"/>
      <c r="U49" s="437"/>
      <c r="V49" s="787"/>
    </row>
    <row r="50" spans="1:22" x14ac:dyDescent="0.2">
      <c r="A50" s="786"/>
      <c r="B50" s="437"/>
      <c r="C50" s="437"/>
      <c r="D50" s="437"/>
      <c r="E50" s="437"/>
      <c r="F50" s="437"/>
      <c r="G50" s="437"/>
      <c r="H50" s="437"/>
      <c r="I50" s="437"/>
      <c r="J50" s="437"/>
      <c r="K50" s="787"/>
      <c r="L50" s="786"/>
      <c r="M50" s="437"/>
      <c r="N50" s="437"/>
      <c r="O50" s="437"/>
      <c r="P50" s="437"/>
      <c r="Q50" s="437"/>
      <c r="R50" s="437"/>
      <c r="S50" s="437"/>
      <c r="T50" s="437"/>
      <c r="U50" s="437"/>
      <c r="V50" s="787"/>
    </row>
    <row r="51" spans="1:22" x14ac:dyDescent="0.2">
      <c r="A51" s="786"/>
      <c r="B51" s="437"/>
      <c r="C51" s="437"/>
      <c r="D51" s="437"/>
      <c r="E51" s="437"/>
      <c r="F51" s="437"/>
      <c r="G51" s="437"/>
      <c r="H51" s="437"/>
      <c r="I51" s="437"/>
      <c r="J51" s="437"/>
      <c r="K51" s="787"/>
      <c r="L51" s="786"/>
      <c r="M51" s="437"/>
      <c r="N51" s="437"/>
      <c r="O51" s="437"/>
      <c r="P51" s="437"/>
      <c r="Q51" s="437"/>
      <c r="R51" s="437"/>
      <c r="S51" s="437"/>
      <c r="T51" s="437"/>
      <c r="U51" s="437"/>
      <c r="V51" s="787"/>
    </row>
    <row r="52" spans="1:22" ht="13.5" thickBot="1" x14ac:dyDescent="0.25">
      <c r="A52" s="788"/>
      <c r="B52" s="789"/>
      <c r="C52" s="789"/>
      <c r="D52" s="789"/>
      <c r="E52" s="789"/>
      <c r="F52" s="789"/>
      <c r="G52" s="789"/>
      <c r="H52" s="789"/>
      <c r="I52" s="789"/>
      <c r="J52" s="789"/>
      <c r="K52" s="790"/>
      <c r="L52" s="788"/>
      <c r="M52" s="789"/>
      <c r="N52" s="789"/>
      <c r="O52" s="789"/>
      <c r="P52" s="789"/>
      <c r="Q52" s="789"/>
      <c r="R52" s="789"/>
      <c r="S52" s="789"/>
      <c r="T52" s="789"/>
      <c r="U52" s="789"/>
      <c r="V52" s="790"/>
    </row>
    <row r="53" spans="1:22" x14ac:dyDescent="0.2">
      <c r="A53" s="437"/>
      <c r="B53" s="437"/>
      <c r="C53" s="437"/>
      <c r="D53" s="437"/>
      <c r="E53" s="437"/>
      <c r="F53" s="437"/>
      <c r="G53" s="437"/>
      <c r="H53" s="437"/>
      <c r="I53" s="437"/>
      <c r="J53" s="437"/>
      <c r="K53" s="437"/>
    </row>
    <row r="54" spans="1:22" x14ac:dyDescent="0.2">
      <c r="A54" s="437"/>
      <c r="B54" s="437"/>
      <c r="C54" s="437"/>
      <c r="D54" s="437"/>
      <c r="E54" s="437"/>
      <c r="F54" s="437"/>
      <c r="G54" s="437"/>
      <c r="H54" s="437"/>
      <c r="I54" s="437"/>
      <c r="J54" s="437"/>
      <c r="K54" s="437"/>
    </row>
    <row r="55" spans="1:22" x14ac:dyDescent="0.2">
      <c r="A55" s="437"/>
      <c r="B55" s="437"/>
      <c r="C55" s="437"/>
      <c r="D55" s="437"/>
      <c r="E55" s="437"/>
      <c r="F55" s="437"/>
      <c r="G55" s="437"/>
      <c r="H55" s="437"/>
      <c r="I55" s="437"/>
      <c r="J55" s="437"/>
      <c r="K55" s="437"/>
    </row>
  </sheetData>
  <mergeCells count="2">
    <mergeCell ref="X9:AE11"/>
    <mergeCell ref="Y40:AD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40</vt:i4>
      </vt:variant>
    </vt:vector>
  </HeadingPairs>
  <TitlesOfParts>
    <vt:vector size="54" baseType="lpstr">
      <vt:lpstr>Read Me</vt:lpstr>
      <vt:lpstr> HPSheet</vt:lpstr>
      <vt:lpstr>Casting Sheets</vt:lpstr>
      <vt:lpstr>Tome</vt:lpstr>
      <vt:lpstr>Summoned OPs</vt:lpstr>
      <vt:lpstr>SUMMARY</vt:lpstr>
      <vt:lpstr>Player Log</vt:lpstr>
      <vt:lpstr>Combat</vt:lpstr>
      <vt:lpstr>Known, Recall, Readied</vt:lpstr>
      <vt:lpstr>New &amp; Useful Castings</vt:lpstr>
      <vt:lpstr>Heka Generation</vt:lpstr>
      <vt:lpstr>Net Worth</vt:lpstr>
      <vt:lpstr>Money</vt:lpstr>
      <vt:lpstr>Consumables</vt:lpstr>
      <vt:lpstr>Consumables!_Toc187423669</vt:lpstr>
      <vt:lpstr>Boating</vt:lpstr>
      <vt:lpstr>CL</vt:lpstr>
      <vt:lpstr>HPName</vt:lpstr>
      <vt:lpstr>M</vt:lpstr>
      <vt:lpstr>MEL</vt:lpstr>
      <vt:lpstr>MM</vt:lpstr>
      <vt:lpstr>MMC</vt:lpstr>
      <vt:lpstr>MMP</vt:lpstr>
      <vt:lpstr>MMS</vt:lpstr>
      <vt:lpstr>MPerceptn</vt:lpstr>
      <vt:lpstr>MR</vt:lpstr>
      <vt:lpstr>MRC</vt:lpstr>
      <vt:lpstr>MRP</vt:lpstr>
      <vt:lpstr>MRS</vt:lpstr>
      <vt:lpstr>NULL</vt:lpstr>
      <vt:lpstr>P</vt:lpstr>
      <vt:lpstr>PM</vt:lpstr>
      <vt:lpstr>PMC</vt:lpstr>
      <vt:lpstr>PMP</vt:lpstr>
      <vt:lpstr>PMS</vt:lpstr>
      <vt:lpstr>PN</vt:lpstr>
      <vt:lpstr>PNC</vt:lpstr>
      <vt:lpstr>PNP</vt:lpstr>
      <vt:lpstr>PNS</vt:lpstr>
      <vt:lpstr>PPerceptn</vt:lpstr>
      <vt:lpstr>Print_Area</vt:lpstr>
      <vt:lpstr>Riding</vt:lpstr>
      <vt:lpstr>RL</vt:lpstr>
      <vt:lpstr>S</vt:lpstr>
      <vt:lpstr>SEL</vt:lpstr>
      <vt:lpstr>SM</vt:lpstr>
      <vt:lpstr>SMC</vt:lpstr>
      <vt:lpstr>SMP</vt:lpstr>
      <vt:lpstr>SMS</vt:lpstr>
      <vt:lpstr>SP</vt:lpstr>
      <vt:lpstr>SPC</vt:lpstr>
      <vt:lpstr>SPP</vt:lpstr>
      <vt:lpstr>SPS</vt:lpstr>
      <vt:lpstr>WL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Newton</dc:creator>
  <cp:lastModifiedBy>Dave Newton</cp:lastModifiedBy>
  <cp:lastPrinted>2025-04-02T00:22:12Z</cp:lastPrinted>
  <dcterms:created xsi:type="dcterms:W3CDTF">2007-03-01T02:31:42Z</dcterms:created>
  <dcterms:modified xsi:type="dcterms:W3CDTF">2025-04-08T00:40:45Z</dcterms:modified>
</cp:coreProperties>
</file>